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891ff97a146f45d5" Type="http://schemas.microsoft.com/office/2006/relationships/ui/extensibility" Target="customUI/customUI.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showInkAnnotation="0" codeName="ThisWorkbook" defaultThemeVersion="124226"/>
  <mc:AlternateContent xmlns:mc="http://schemas.openxmlformats.org/markup-compatibility/2006">
    <mc:Choice Requires="x15">
      <x15ac:absPath xmlns:x15ac="http://schemas.microsoft.com/office/spreadsheetml/2010/11/ac" url="https://kise-my.sharepoint.com/personal/kia_olsson_ki_se/Documents/Skrivbordet/"/>
    </mc:Choice>
  </mc:AlternateContent>
  <xr:revisionPtr revIDLastSave="0" documentId="8_{492A0580-6E56-4648-9992-CB718F5E7929}" xr6:coauthVersionLast="45" xr6:coauthVersionMax="45" xr10:uidLastSave="{00000000-0000-0000-0000-000000000000}"/>
  <workbookProtection workbookAlgorithmName="SHA-512" workbookHashValue="6nWctl0WoxQJ6Z8FMCr5iRo/rCm0+qm8jdqDqfFag1Z7cKeSpwPqdQeE1N92vjlLEBNPEeXZOD92Tf0OiKr93g==" workbookSaltValue="rSHfAtSj3ltHjRMWFJ8oGA==" workbookSpinCount="100000" lockStructure="1"/>
  <bookViews>
    <workbookView xWindow="-110" yWindow="-110" windowWidth="19420" windowHeight="10420" tabRatio="794" xr2:uid="{00000000-000D-0000-FFFF-FFFF00000000}"/>
  </bookViews>
  <sheets>
    <sheet name="Instructions 2021" sheetId="60" r:id="rId1"/>
    <sheet name="Instructions" sheetId="58" state="hidden" r:id="rId2"/>
    <sheet name="Holidays" sheetId="39" r:id="rId3"/>
    <sheet name="Start page" sheetId="44" r:id="rId4"/>
    <sheet name="Jan" sheetId="42" r:id="rId5"/>
    <sheet name="Feb" sheetId="46" r:id="rId6"/>
    <sheet name="Mar" sheetId="47" r:id="rId7"/>
    <sheet name="Apr" sheetId="48" r:id="rId8"/>
    <sheet name="May" sheetId="49" r:id="rId9"/>
    <sheet name="Jun" sheetId="50" r:id="rId10"/>
    <sheet name="Jul" sheetId="51" r:id="rId11"/>
    <sheet name="Aug" sheetId="52" r:id="rId12"/>
    <sheet name="Sep" sheetId="53" r:id="rId13"/>
    <sheet name="Oct" sheetId="54" r:id="rId14"/>
    <sheet name="Nov" sheetId="55" r:id="rId15"/>
    <sheet name="Dec" sheetId="56" r:id="rId16"/>
    <sheet name="Overview" sheetId="57" r:id="rId17"/>
    <sheet name="Definitions" sheetId="45" state="hidden" r:id="rId18"/>
  </sheets>
  <definedNames>
    <definedName name="Activity">Definitions!$D$3:$D$8</definedName>
    <definedName name="Activity.01">'Start page'!$L$8</definedName>
    <definedName name="Activity.02">'Start page'!$L$9</definedName>
    <definedName name="Activity.03">'Start page'!$L$10</definedName>
    <definedName name="Activity.04">'Start page'!$L$11</definedName>
    <definedName name="Activity.05">'Start page'!$L$12</definedName>
    <definedName name="Activity.06">'Start page'!$L$13</definedName>
    <definedName name="Activity.07">'Start page'!$L$14</definedName>
    <definedName name="Activity.08">'Start page'!$L$15</definedName>
    <definedName name="Activity.09">'Start page'!$L$16</definedName>
    <definedName name="Activity.10">'Start page'!$L$17</definedName>
    <definedName name="Activity.11">'Start page'!$L$18</definedName>
    <definedName name="Activity.12">'Start page'!$L$19</definedName>
    <definedName name="Activity.13">'Start page'!$L$20</definedName>
    <definedName name="Activity.14">'Start page'!$L$21</definedName>
    <definedName name="Activity.15">'Start page'!$L$22</definedName>
    <definedName name="Activity.16">'Start page'!$L$23</definedName>
    <definedName name="Activity.17">'Start page'!$L$24</definedName>
    <definedName name="Activity.18">'Start page'!$L$25</definedName>
    <definedName name="Activity.19">'Start page'!$L$26</definedName>
    <definedName name="Activity.20">'Start page'!$L$17</definedName>
    <definedName name="AloxÅr" localSheetId="3" hidden="1">'Start page'!#REF!</definedName>
    <definedName name="AloxÅr" hidden="1">'Start page'!$K$3</definedName>
    <definedName name="Apr.Tot.Annualnew">Apr!#REF!</definedName>
    <definedName name="Apr.Tot.Illness">Apr!#REF!</definedName>
    <definedName name="Apr.Tot.Parentalnew">Apr!#REF!</definedName>
    <definedName name="Apr.Tot.Special">Apr!#REF!</definedName>
    <definedName name="AprTot.01">Apr!$AI$4</definedName>
    <definedName name="AprTot.02">Apr!$AI$5</definedName>
    <definedName name="AprTot.03">Apr!$AI$6</definedName>
    <definedName name="AprTot.04">Apr!$AI$7</definedName>
    <definedName name="AprTot.05">Apr!$AI$8</definedName>
    <definedName name="AprTot.06">Apr!$AI$9</definedName>
    <definedName name="AprTot.07">Apr!$AI$10</definedName>
    <definedName name="AprTot.08">Apr!$AI$11</definedName>
    <definedName name="AprTot.09">Apr!$AI$12</definedName>
    <definedName name="AprTot.10">Apr!$AI$13</definedName>
    <definedName name="AprTot.11">Apr!$AI$14</definedName>
    <definedName name="AprTot.12">Apr!$AI$15</definedName>
    <definedName name="AprTot.13">Apr!$AI$16</definedName>
    <definedName name="AprTot.14">Apr!$AI$17</definedName>
    <definedName name="AprTot.15">Apr!$AI$18</definedName>
    <definedName name="AprTot.16">Apr!$AI$19</definedName>
    <definedName name="AprTot.17">Apr!$AI$20</definedName>
    <definedName name="AprTot.18">Apr!$AI$21</definedName>
    <definedName name="AprTot.19">Apr!$AI$22</definedName>
    <definedName name="AprTot.20">Apr!$AI$23</definedName>
    <definedName name="Aug.Tot.Annualnew">Aug!#REF!</definedName>
    <definedName name="Aug.Tot.Illness">Aug!#REF!</definedName>
    <definedName name="Aug.Tot.Parentalnew">Aug!#REF!</definedName>
    <definedName name="Aug.Tot.Special">Aug!#REF!</definedName>
    <definedName name="AugTot.01">Aug!$AI$4</definedName>
    <definedName name="AugTot.02">Aug!$AI$5</definedName>
    <definedName name="AugTot.03">Aug!$AI$6</definedName>
    <definedName name="AugTot.04">Aug!$AI$7</definedName>
    <definedName name="AugTot.05">Aug!$AI$8</definedName>
    <definedName name="AugTot.06">Aug!$AI$9</definedName>
    <definedName name="AugTot.07">Aug!$AI$10</definedName>
    <definedName name="AugTot.08">Aug!$AI$11</definedName>
    <definedName name="AugTot.09">Aug!$AI$12</definedName>
    <definedName name="AugTot.10">Aug!$AI$13</definedName>
    <definedName name="AugTot.11">Aug!$AI$14</definedName>
    <definedName name="AugTot.12">Aug!$AI$15</definedName>
    <definedName name="AugTot.13">Aug!$AI$16</definedName>
    <definedName name="AugTot.14">Aug!$AI$17</definedName>
    <definedName name="AugTot.15">Aug!$AI$18</definedName>
    <definedName name="AugTot.16">Aug!$AI$19</definedName>
    <definedName name="AugTot.17">Aug!$AI$20</definedName>
    <definedName name="AugTot.18">Aug!$AI$21</definedName>
    <definedName name="AugTot.19">Aug!$AI$22</definedName>
    <definedName name="AugTot.20">Aug!$AI$23</definedName>
    <definedName name="Contract.01">'Start page'!$H$8</definedName>
    <definedName name="Contract.02">'Start page'!$H$9</definedName>
    <definedName name="Contract.03">'Start page'!$H$10</definedName>
    <definedName name="Contract.04">'Start page'!$H$11</definedName>
    <definedName name="Contract.05">'Start page'!$H$12</definedName>
    <definedName name="Contract.06">'Start page'!$H$13</definedName>
    <definedName name="Contract.07">'Start page'!$H$14</definedName>
    <definedName name="Contract.08">'Start page'!$H$15</definedName>
    <definedName name="Contract.09">'Start page'!$H$16</definedName>
    <definedName name="Contract.10">'Start page'!$H$17</definedName>
    <definedName name="Contract.11">'Start page'!$H$18</definedName>
    <definedName name="Contract.12">'Start page'!$H$19</definedName>
    <definedName name="Contract.13">'Start page'!$H$20</definedName>
    <definedName name="Contract.14">'Start page'!$H$21</definedName>
    <definedName name="Contract.15">'Start page'!$H$22</definedName>
    <definedName name="Contract.16">'Start page'!$H$23</definedName>
    <definedName name="Contract.17">'Start page'!$H$24</definedName>
    <definedName name="Contract.18">'Start page'!$H$25</definedName>
    <definedName name="Contract.19">'Start page'!$H$26</definedName>
    <definedName name="Contract.20">'Start page'!$H$27</definedName>
    <definedName name="Dec.Tot.Annualnew">Dec!#REF!</definedName>
    <definedName name="Dec.Tot.Illness">Dec!#REF!</definedName>
    <definedName name="Dec.Tot.Parentalnew">Dec!#REF!</definedName>
    <definedName name="Dec.Tot.Special">Dec!#REF!</definedName>
    <definedName name="DecTot.01">Dec!$AI$4</definedName>
    <definedName name="DecTot.02">Dec!$AI$5</definedName>
    <definedName name="DecTot.03">Dec!$AI$6</definedName>
    <definedName name="DecTot.04">Dec!$AI$7</definedName>
    <definedName name="DecTot.05">Dec!$AI$8</definedName>
    <definedName name="DecTot.06">Dec!$AI$9</definedName>
    <definedName name="DecTot.07">Dec!$AI$10</definedName>
    <definedName name="DecTot.08">Dec!$AI$11</definedName>
    <definedName name="DecTot.09">Dec!$AI$12</definedName>
    <definedName name="DecTot.10">Dec!$AI$13</definedName>
    <definedName name="DecTot.11">Dec!$AI$14</definedName>
    <definedName name="DecTot.12">Dec!$AI$15</definedName>
    <definedName name="DecTot.13">Dec!$AI$16</definedName>
    <definedName name="DecTot.14">Dec!$AI$17</definedName>
    <definedName name="DecTot.15">Dec!$AI$18</definedName>
    <definedName name="DecTot.16">Dec!$AI$19</definedName>
    <definedName name="DecTot.17">Dec!$AI$20</definedName>
    <definedName name="DecTot.18">Dec!$AI$21</definedName>
    <definedName name="DecTot.19">Dec!$AI$22</definedName>
    <definedName name="DecTot.20">Dec!$AI$23</definedName>
    <definedName name="Feb.Tot.Annualnew">Feb!#REF!</definedName>
    <definedName name="Feb.Tot.Illness">Feb!#REF!</definedName>
    <definedName name="Feb.Tot.Parentalnew">Feb!#REF!</definedName>
    <definedName name="Feb.Tot.Special">Feb!#REF!</definedName>
    <definedName name="FebTot.01">Feb!$AI$4</definedName>
    <definedName name="FebTot.02">Feb!$AI$5</definedName>
    <definedName name="FebTot.03">Feb!$AI$6</definedName>
    <definedName name="FebTot.04">Feb!$AI$7</definedName>
    <definedName name="FebTot.05">Feb!$AI$8</definedName>
    <definedName name="FebTot.06">Feb!$AI$9</definedName>
    <definedName name="FebTot.07">Feb!$AI$10</definedName>
    <definedName name="FebTot.08">Feb!$AI$11</definedName>
    <definedName name="FebTot.09">Feb!$AI$12</definedName>
    <definedName name="FebTot.10">Feb!$AI$13</definedName>
    <definedName name="FebTot.11">Feb!$AI$14</definedName>
    <definedName name="FebTot.12">Feb!$AI$15</definedName>
    <definedName name="FebTot.13">Feb!$AI$16</definedName>
    <definedName name="FebTot.14">Feb!$AI$17</definedName>
    <definedName name="FebTot.15">Feb!$AI$18</definedName>
    <definedName name="FebTot.16">Feb!$AI$19</definedName>
    <definedName name="FebTot.17">Feb!$AI$20</definedName>
    <definedName name="FebTot.18">Feb!$AI$21</definedName>
    <definedName name="FebTot.19">Feb!$AI$22</definedName>
    <definedName name="FebTot.20">Feb!$AI$23</definedName>
    <definedName name="FebTot.7">Feb!$AI$10</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"06/25/2015 11:33:56"</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Jan.Tot.Annualnew">Jan!#REF!</definedName>
    <definedName name="Jan.Tot.Illness">Jan!#REF!</definedName>
    <definedName name="Jan.Tot.Parentalnew">Jan!#REF!</definedName>
    <definedName name="Jan.Tot.Special">Jan!#REF!</definedName>
    <definedName name="JanTot.01">Jan!$AI$4</definedName>
    <definedName name="JanTot.02">Jan!$AI$5</definedName>
    <definedName name="JanTot.03">Jan!$AI$6</definedName>
    <definedName name="JanTot.04">Jan!$AI$7</definedName>
    <definedName name="JanTot.05">Jan!$AI$8</definedName>
    <definedName name="JanTot.06">Jan!$AI$9</definedName>
    <definedName name="JanTot.07">Jan!$AI$10</definedName>
    <definedName name="JanTot.08">Jan!$AI$11</definedName>
    <definedName name="JanTot.09">Jan!$AI$12</definedName>
    <definedName name="JanTot.10">Jan!$AI$13</definedName>
    <definedName name="JanTot.11">Jan!$AI$14</definedName>
    <definedName name="JanTot.12">Jan!$AI$15</definedName>
    <definedName name="JanTot.13">Jan!$AI$16</definedName>
    <definedName name="JanTot.14">Jan!$AI$17</definedName>
    <definedName name="JanTot.15">Jan!$AI$18</definedName>
    <definedName name="JanTot.16">Jan!$AI$19</definedName>
    <definedName name="JanTot.17">Jan!$AI$20</definedName>
    <definedName name="JanTot.18">Jan!$AI$21</definedName>
    <definedName name="JanTot.19">Jan!$AI$22</definedName>
    <definedName name="JanTot.20">Jan!$AI$23</definedName>
    <definedName name="Jul.Tot.Annualnew">Jul!#REF!</definedName>
    <definedName name="Jul.Tot.Illness">Jul!#REF!</definedName>
    <definedName name="Jul.Tot.Parentalnew">Jul!#REF!</definedName>
    <definedName name="Jul.Tot.Special">Jul!#REF!</definedName>
    <definedName name="JulTot.01">Jul!$AI$4</definedName>
    <definedName name="JulTot.02">Jul!$AI$5</definedName>
    <definedName name="JulTot.03">Jul!$AI$6</definedName>
    <definedName name="JulTot.04">Jul!$AI$7</definedName>
    <definedName name="JulTot.05">Jul!$AI$8</definedName>
    <definedName name="JulTot.06">Jul!$AI$9</definedName>
    <definedName name="JulTot.07">Jul!$AI$10</definedName>
    <definedName name="JulTot.08">Jul!$AI$11</definedName>
    <definedName name="JulTot.09">Jul!$AI$12</definedName>
    <definedName name="JulTot.10">Jul!$AI$13</definedName>
    <definedName name="JulTot.11">Jul!$AI$14</definedName>
    <definedName name="JulTot.12">Jul!$AI$15</definedName>
    <definedName name="JulTot.13">Jul!$AI$16</definedName>
    <definedName name="JulTot.14">Jul!$AI$17</definedName>
    <definedName name="JulTot.15">Jul!$AI$18</definedName>
    <definedName name="JulTot.16">Jul!$AI$19</definedName>
    <definedName name="JulTot.17">Jul!$AI$20</definedName>
    <definedName name="JulTot.18">Jul!$AI$21</definedName>
    <definedName name="JulTot.19">Jul!$AI$22</definedName>
    <definedName name="JulTot.20">Jul!$AI$23</definedName>
    <definedName name="Jun.Tot.Annualnew">Jun!#REF!</definedName>
    <definedName name="Jun.Tot.Illness">Jun!#REF!</definedName>
    <definedName name="Jun.Tot.Parentalnew">Jun!#REF!</definedName>
    <definedName name="Jun.Tot.Special">Jun!#REF!</definedName>
    <definedName name="JunTot.01">Jun!$AI$4</definedName>
    <definedName name="JunTot.02">Jun!$AI$5</definedName>
    <definedName name="JunTot.03">Jun!$AI$6</definedName>
    <definedName name="JunTot.04">Jun!$AI$7</definedName>
    <definedName name="JunTot.05">Jun!$AI$8</definedName>
    <definedName name="JunTot.06">Jun!$AI$9</definedName>
    <definedName name="JunTot.07">Jun!$AI$10</definedName>
    <definedName name="JunTot.08">Jun!$AI$11</definedName>
    <definedName name="JunTot.09">Jun!$AI$12</definedName>
    <definedName name="JunTot.10">Jun!$AI$13</definedName>
    <definedName name="JunTot.11">Jun!$AI$14</definedName>
    <definedName name="JunTot.12">Jun!$AI$15</definedName>
    <definedName name="JunTot.13">Jun!$AI$16</definedName>
    <definedName name="JunTot.14">Jun!$AI$17</definedName>
    <definedName name="JunTot.15">Jun!$AI$18</definedName>
    <definedName name="JunTot.16">Jun!$AI$19</definedName>
    <definedName name="JunTot.17">Jun!$AI$20</definedName>
    <definedName name="JunTot.18">Jun!$AI$21</definedName>
    <definedName name="JunTot.19">Jun!$AI$22</definedName>
    <definedName name="JunTot.20">Jun!$AI$23</definedName>
    <definedName name="KI">'Start page'!$D$3</definedName>
    <definedName name="Mar.Tot.Annualnew">Mar!#REF!</definedName>
    <definedName name="Mar.Tot.Illness">Mar!#REF!</definedName>
    <definedName name="Mar.Tot.Parentalnew">Mar!#REF!</definedName>
    <definedName name="Mar.Tot.Special">Mar!#REF!</definedName>
    <definedName name="MarTot.01">Mar!$AI$4</definedName>
    <definedName name="MarTot.02">Mar!$AI$5</definedName>
    <definedName name="MarTot.03">Mar!$AI$6</definedName>
    <definedName name="MarTot.04">Mar!$AI$7</definedName>
    <definedName name="MarTot.05">Mar!$AI$8</definedName>
    <definedName name="MarTot.06">Mar!$AI$9</definedName>
    <definedName name="MarTot.07">Mar!$AI$10</definedName>
    <definedName name="MarTot.08">Mar!$AI$11</definedName>
    <definedName name="MarTot.09">Mar!$AI$12</definedName>
    <definedName name="MarTot.10">Mar!$AI$13</definedName>
    <definedName name="MarTot.11">Mar!$AI$14</definedName>
    <definedName name="MarTot.12">Mar!$AI$15</definedName>
    <definedName name="MarTot.13">Mar!$AI$16</definedName>
    <definedName name="MarTot.14">Mar!$AI$17</definedName>
    <definedName name="MarTot.15">Mar!$AI$18</definedName>
    <definedName name="MarTot.16">Mar!$AI$19</definedName>
    <definedName name="MarTot.17">Mar!$AI$20</definedName>
    <definedName name="MarTot.18">Mar!$AI$21</definedName>
    <definedName name="MarTot.19">Mar!$AI$22</definedName>
    <definedName name="MarTot.20">Mar!$AI$23</definedName>
    <definedName name="May.Tot.Annualnew">May!#REF!</definedName>
    <definedName name="May.Tot.Illness">May!#REF!</definedName>
    <definedName name="May.Tot.Parentalnew">May!#REF!</definedName>
    <definedName name="May.Tot.Special">May!#REF!</definedName>
    <definedName name="MayTot.01">May!$AI$4</definedName>
    <definedName name="MayTot.02">May!$AI$5</definedName>
    <definedName name="MayTot.03">May!$AI$6</definedName>
    <definedName name="MayTot.04">May!$AI$7</definedName>
    <definedName name="MayTot.05">May!$AI$8</definedName>
    <definedName name="MayTot.06">May!$AI$9</definedName>
    <definedName name="MayTot.07">May!$AI$10</definedName>
    <definedName name="MayTot.08">May!$AI$11</definedName>
    <definedName name="MayTot.09">May!$AI$12</definedName>
    <definedName name="MayTot.10">May!$AI$13</definedName>
    <definedName name="MayTot.11">May!$AI$14</definedName>
    <definedName name="MayTot.12">May!$AI$15</definedName>
    <definedName name="MayTot.13">May!$AI$16</definedName>
    <definedName name="MayTot.14">May!$AI$17</definedName>
    <definedName name="MayTot.15">May!$AI$18</definedName>
    <definedName name="MayTot.16">May!$AI$19</definedName>
    <definedName name="MayTot.17">May!$AI$20</definedName>
    <definedName name="MayTot.18">May!$AI$21</definedName>
    <definedName name="MayTot.19">May!$AI$22</definedName>
    <definedName name="MayTot.20">May!$AI$23</definedName>
    <definedName name="Member">'Start page'!$D$4</definedName>
    <definedName name="Nov.Tot.Annualnew">Nov!#REF!</definedName>
    <definedName name="Nov.Tot.Illness">Nov!#REF!</definedName>
    <definedName name="Nov.Tot.Parentalnew">Nov!#REF!</definedName>
    <definedName name="Nov.Tot.Special">Nov!#REF!</definedName>
    <definedName name="NovTot.01">Nov!$AI$4</definedName>
    <definedName name="NovTot.02">Nov!$AI$5</definedName>
    <definedName name="NovTot.03">Nov!$AI$6</definedName>
    <definedName name="NovTot.04">Nov!$AI$7</definedName>
    <definedName name="NovTot.05">Nov!$AI$8</definedName>
    <definedName name="NovTot.06">Nov!$AI$9</definedName>
    <definedName name="NovTot.07">Nov!$AI$10</definedName>
    <definedName name="NovTot.08">Nov!$AI$11</definedName>
    <definedName name="NovTot.09">Nov!$AI$12</definedName>
    <definedName name="NovTot.10">Nov!$AI$13</definedName>
    <definedName name="NovTot.11">Nov!$AI$14</definedName>
    <definedName name="NovTot.12">Nov!$AI$15</definedName>
    <definedName name="NovTot.13">Nov!$AI$16</definedName>
    <definedName name="NovTot.14">Nov!$AI$17</definedName>
    <definedName name="NovTot.15">Nov!$AI$18</definedName>
    <definedName name="NovTot.16">Nov!$AI$19</definedName>
    <definedName name="NovTot.17">Nov!$AI$20</definedName>
    <definedName name="NovTot.18">Nov!$AI$21</definedName>
    <definedName name="NovTot.19">Nov!$AI$22</definedName>
    <definedName name="NovTot.20">Nov!$AI$23</definedName>
    <definedName name="Oct.Tot.Annualnew">Oct!#REF!</definedName>
    <definedName name="Oct.Tot.Illness">Oct!#REF!</definedName>
    <definedName name="Oct.Tot.Parentalnew">Oct!#REF!</definedName>
    <definedName name="Oct.Tot.Special">Oct!#REF!</definedName>
    <definedName name="OctTot.01">Oct!$AI$4</definedName>
    <definedName name="OctTot.02">Oct!$AI$5</definedName>
    <definedName name="OctTot.03">Oct!$AI$6</definedName>
    <definedName name="OctTot.04">Oct!$AI$7</definedName>
    <definedName name="OctTot.05">Oct!$AI$8</definedName>
    <definedName name="OctTot.06">Oct!$AI$9</definedName>
    <definedName name="OctTot.07">Oct!$AI$10</definedName>
    <definedName name="OctTot.08">Oct!$AI$11</definedName>
    <definedName name="OctTot.09">Oct!$AI$12</definedName>
    <definedName name="OctTot.10">Oct!$AI$13</definedName>
    <definedName name="OctTot.11">Oct!$AI$14</definedName>
    <definedName name="OctTot.12">Oct!$AI$15</definedName>
    <definedName name="OctTot.13">Oct!$AI$16</definedName>
    <definedName name="OctTot.14">Oct!$AI$17</definedName>
    <definedName name="OctTot.15">Oct!$AI$18</definedName>
    <definedName name="OctTot.16">Oct!$AI$19</definedName>
    <definedName name="OctTot.17">Oct!$AI$20</definedName>
    <definedName name="OctTot.18">Oct!$AI$21</definedName>
    <definedName name="OctTot.19">Oct!$AI$22</definedName>
    <definedName name="OctTot.20">Oct!$AI$23</definedName>
    <definedName name="Program">Definitions!$B$3:$B$10</definedName>
    <definedName name="Project.01">'Start page'!$D$8</definedName>
    <definedName name="Project.02">'Start page'!$D$9</definedName>
    <definedName name="Project.03">'Start page'!$D$10</definedName>
    <definedName name="Project.04">'Start page'!$D$11</definedName>
    <definedName name="Project.05">'Start page'!$D$12</definedName>
    <definedName name="Project.06">'Start page'!$D$13</definedName>
    <definedName name="Project.07">'Start page'!$D$14</definedName>
    <definedName name="Project.08">'Start page'!$D$15</definedName>
    <definedName name="Project.09">'Start page'!$D$16</definedName>
    <definedName name="Project.10">'Start page'!$D$17</definedName>
    <definedName name="Project.11">'Start page'!$D$18</definedName>
    <definedName name="Project.12">'Start page'!$D$19</definedName>
    <definedName name="Project.13">'Start page'!$D$20</definedName>
    <definedName name="Project.14">'Start page'!$D$21</definedName>
    <definedName name="Project.15">'Start page'!$D$22</definedName>
    <definedName name="Project.16">'Start page'!$D$23</definedName>
    <definedName name="Project.17">'Start page'!$D$24</definedName>
    <definedName name="Project.18">'Start page'!$D$25</definedName>
    <definedName name="Project.19">'Start page'!$D$26</definedName>
    <definedName name="Project.20">'Start page'!$D$27</definedName>
    <definedName name="Sep.Tot.Annualnew">Sep!#REF!</definedName>
    <definedName name="Sep.Tot.Illness">Sep!#REF!</definedName>
    <definedName name="Sep.Tot.Parentalnew">Sep!#REF!</definedName>
    <definedName name="Sep.Tot.Special">Sep!#REF!</definedName>
    <definedName name="SepTot.01">Sep!$AI$4</definedName>
    <definedName name="SepTot.02">Sep!$AI$5</definedName>
    <definedName name="SepTot.03">Sep!$AI$6</definedName>
    <definedName name="SepTot.04">Sep!$AI$7</definedName>
    <definedName name="SepTot.05">Sep!$AI$8</definedName>
    <definedName name="SepTot.06">Sep!$AI$9</definedName>
    <definedName name="SepTot.07">Sep!$AI$10</definedName>
    <definedName name="SepTot.08">Sep!$AI$11</definedName>
    <definedName name="SepTot.09">Sep!$AI$12</definedName>
    <definedName name="SepTot.10">Sep!$AI$13</definedName>
    <definedName name="SepTot.11">Sep!$AI$14</definedName>
    <definedName name="SepTot.12">Sep!$AI$15</definedName>
    <definedName name="SepTot.13">Sep!$AI$16</definedName>
    <definedName name="SepTot.14">Sep!$AI$17</definedName>
    <definedName name="SepTot.15">Sep!$AI$18</definedName>
    <definedName name="SepTot.16">Sep!$AI$19</definedName>
    <definedName name="SepTot.17">Sep!$AI$20</definedName>
    <definedName name="SepTot.18">Sep!$AI$21</definedName>
    <definedName name="SepTot.19">Sep!$AI$22</definedName>
    <definedName name="SepTot.20">Sep!$AI$23</definedName>
    <definedName name="Supervisor">'Start page'!$D$5</definedName>
    <definedName name="Title.member">'Start page'!$K$4</definedName>
    <definedName name="Title.supervisor">'Start page'!$K$5</definedName>
    <definedName name="Type.01">'Start page'!$J$8</definedName>
    <definedName name="Type.02">'Start page'!$J$9</definedName>
    <definedName name="Type.03">'Start page'!$J$10</definedName>
    <definedName name="Type.04">'Start page'!$J$11</definedName>
    <definedName name="Type.05">'Start page'!$J$12</definedName>
    <definedName name="Type.06">'Start page'!$J$13</definedName>
    <definedName name="Type.07">'Start page'!$J$14</definedName>
    <definedName name="Type.08">'Start page'!$J$15</definedName>
    <definedName name="Type.09">'Start page'!$J$16</definedName>
    <definedName name="Type.10">'Start page'!$J$17</definedName>
    <definedName name="Type.11">'Start page'!$J$18</definedName>
    <definedName name="Type.12">'Start page'!$J$19</definedName>
    <definedName name="Type.13">'Start page'!$J$20</definedName>
    <definedName name="Type.14">'Start page'!$J$21</definedName>
    <definedName name="Type.15">'Start page'!$J$22</definedName>
    <definedName name="Type.16">'Start page'!$J$23</definedName>
    <definedName name="Type.17">'Start page'!$J$24</definedName>
    <definedName name="Type.18">'Start page'!$J$25</definedName>
    <definedName name="Type.19">'Start page'!$J$26</definedName>
    <definedName name="Type.20">'Start page'!$J$27</definedName>
    <definedName name="_xlnm.Print_Area" localSheetId="7">Apr!$B$1:$AK$42</definedName>
    <definedName name="_xlnm.Print_Area" localSheetId="11">Aug!$B$1:$AK$42</definedName>
    <definedName name="_xlnm.Print_Area" localSheetId="15">Dec!$B$1:$AK$42</definedName>
    <definedName name="_xlnm.Print_Area" localSheetId="5">Feb!$B$1:$AK$42</definedName>
    <definedName name="_xlnm.Print_Area" localSheetId="2">Holidays!$A$1:$Q$36</definedName>
    <definedName name="_xlnm.Print_Area" localSheetId="1">Instructions!$A$1:$I$34</definedName>
    <definedName name="_xlnm.Print_Area" localSheetId="4">Jan!$B$1:$AK$42</definedName>
    <definedName name="_xlnm.Print_Area" localSheetId="10">Jul!$B$1:$AK$42</definedName>
    <definedName name="_xlnm.Print_Area" localSheetId="9">Jun!$B$1:$AK$42</definedName>
    <definedName name="_xlnm.Print_Area" localSheetId="6">Mar!$B$1:$AK$42</definedName>
    <definedName name="_xlnm.Print_Area" localSheetId="8">May!$B$1:$AK$42</definedName>
    <definedName name="_xlnm.Print_Area" localSheetId="14">Nov!$B$1:$AK$42</definedName>
    <definedName name="_xlnm.Print_Area" localSheetId="13">Oct!$B$1:$AK$42</definedName>
    <definedName name="_xlnm.Print_Area" localSheetId="16">Overview!$B$1:$Q$33</definedName>
    <definedName name="_xlnm.Print_Area" localSheetId="12">Sep!$B$1:$AK$42</definedName>
    <definedName name="_xlnm.Print_Area" localSheetId="3">'Start page'!$B$1:$AG$32</definedName>
    <definedName name="WP.01">'Start page'!$F$8</definedName>
    <definedName name="WP.02">'Start page'!$F$9</definedName>
    <definedName name="WP.03">'Start page'!$F$10</definedName>
    <definedName name="WP.04">'Start page'!$F$11</definedName>
    <definedName name="WP.05">'Start page'!$F$12</definedName>
    <definedName name="WP.06">'Start page'!$F$13</definedName>
    <definedName name="WP.07">'Start page'!$F$14</definedName>
    <definedName name="WP.08">'Start page'!$F$15</definedName>
    <definedName name="WP.09">'Start page'!$F$16</definedName>
    <definedName name="WP.10">'Start page'!$F$17</definedName>
    <definedName name="WP.11">'Start page'!$F$18</definedName>
    <definedName name="WP.12">'Start page'!$F$19</definedName>
    <definedName name="WP.13">'Start page'!$F$20</definedName>
    <definedName name="WP.14">'Start page'!$F$21</definedName>
    <definedName name="WP.15">'Start page'!$F$22</definedName>
    <definedName name="WP.16">'Start page'!$F$23</definedName>
    <definedName name="WP.17">'Start page'!$F$24</definedName>
    <definedName name="WP.18">'Start page'!$F$25</definedName>
    <definedName name="WP.19">'Start page'!$F$26</definedName>
    <definedName name="WP.20">'Start page'!$F$27</definedName>
    <definedName name="WP.list">Definitions!$F$3:$F$103</definedName>
    <definedName name="Year">'Start page'!$K$3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I24" i="56" l="1"/>
  <c r="D26" i="42"/>
  <c r="F28" i="46"/>
  <c r="D28" i="46"/>
  <c r="G27" i="39"/>
  <c r="I27" i="39"/>
  <c r="AI4" i="46"/>
  <c r="N5" i="39"/>
  <c r="N6" i="39"/>
  <c r="B1" i="39"/>
  <c r="AH28" i="56"/>
  <c r="H28" i="56"/>
  <c r="L28" i="56"/>
  <c r="P28" i="56"/>
  <c r="T28" i="56"/>
  <c r="X28" i="56"/>
  <c r="AB28" i="56"/>
  <c r="AF28" i="56"/>
  <c r="AI24" i="48"/>
  <c r="G24" i="57"/>
  <c r="AI5" i="48"/>
  <c r="AI6" i="48"/>
  <c r="AI7" i="48"/>
  <c r="AI8" i="48"/>
  <c r="AI9" i="48"/>
  <c r="AI10" i="48"/>
  <c r="AI11" i="48"/>
  <c r="AI12" i="48"/>
  <c r="AI13" i="48"/>
  <c r="AI14" i="48"/>
  <c r="AI15" i="48"/>
  <c r="AI16" i="48"/>
  <c r="AI17" i="48"/>
  <c r="AI18" i="48"/>
  <c r="AI19" i="48"/>
  <c r="AI20" i="48"/>
  <c r="AI21" i="48"/>
  <c r="AI22" i="48"/>
  <c r="AI23" i="48"/>
  <c r="AI4" i="48"/>
  <c r="AI24" i="55"/>
  <c r="N24" i="57"/>
  <c r="AI5" i="55"/>
  <c r="AI6" i="55"/>
  <c r="AI7" i="55"/>
  <c r="AI8" i="55"/>
  <c r="AI9" i="55"/>
  <c r="AI10" i="55"/>
  <c r="AI11" i="55"/>
  <c r="AI12" i="55"/>
  <c r="AI13" i="55"/>
  <c r="AI14" i="55"/>
  <c r="AI15" i="55"/>
  <c r="AI16" i="55"/>
  <c r="AI17" i="55"/>
  <c r="AI18" i="55"/>
  <c r="AI19" i="55"/>
  <c r="AI20" i="55"/>
  <c r="AI21" i="55"/>
  <c r="AI22" i="55"/>
  <c r="AI23" i="55"/>
  <c r="AI4" i="55"/>
  <c r="AI5" i="53"/>
  <c r="AI6" i="53"/>
  <c r="AI7" i="53"/>
  <c r="AI8" i="53"/>
  <c r="AI9" i="53"/>
  <c r="AI10" i="53"/>
  <c r="AI11" i="53"/>
  <c r="AI12" i="53"/>
  <c r="AI13" i="53"/>
  <c r="AI14" i="53"/>
  <c r="AI15" i="53"/>
  <c r="AI16" i="53"/>
  <c r="AI17" i="53"/>
  <c r="AI18" i="53"/>
  <c r="AI19" i="53"/>
  <c r="AI20" i="53"/>
  <c r="AI21" i="53"/>
  <c r="AI22" i="53"/>
  <c r="AI23" i="53"/>
  <c r="AI4" i="53"/>
  <c r="AI24" i="53"/>
  <c r="L24" i="57"/>
  <c r="AI5" i="50"/>
  <c r="AI6" i="50"/>
  <c r="AI7" i="50"/>
  <c r="AI8" i="50"/>
  <c r="AI9" i="50"/>
  <c r="AI10" i="50"/>
  <c r="AI11" i="50"/>
  <c r="AI12" i="50"/>
  <c r="AI13" i="50"/>
  <c r="AI14" i="50"/>
  <c r="AI15" i="50"/>
  <c r="AI16" i="50"/>
  <c r="AI17" i="50"/>
  <c r="AI18" i="50"/>
  <c r="AI19" i="50"/>
  <c r="AI20" i="50"/>
  <c r="AI21" i="50"/>
  <c r="AI22" i="50"/>
  <c r="AI23" i="50"/>
  <c r="AI24" i="50"/>
  <c r="I24" i="57"/>
  <c r="AI4" i="50"/>
  <c r="AI5" i="46"/>
  <c r="AI6" i="46"/>
  <c r="AI7" i="46"/>
  <c r="AI8" i="46"/>
  <c r="AI9" i="46"/>
  <c r="AI10" i="46"/>
  <c r="AI11" i="46"/>
  <c r="AI12" i="46"/>
  <c r="AI13" i="46"/>
  <c r="AI14" i="46"/>
  <c r="AI15" i="46"/>
  <c r="AI16" i="46"/>
  <c r="AI17" i="46"/>
  <c r="AI18" i="46"/>
  <c r="AI19" i="46"/>
  <c r="AI20" i="46"/>
  <c r="AI21" i="46"/>
  <c r="AI22" i="46"/>
  <c r="AI23" i="46"/>
  <c r="AI24" i="46"/>
  <c r="E24" i="57"/>
  <c r="E28" i="56"/>
  <c r="F28" i="56"/>
  <c r="G28" i="56"/>
  <c r="I28" i="56"/>
  <c r="J28" i="56"/>
  <c r="K28" i="56"/>
  <c r="M28" i="56"/>
  <c r="N28" i="56"/>
  <c r="O28" i="56"/>
  <c r="Q28" i="56"/>
  <c r="R28" i="56"/>
  <c r="S28" i="56"/>
  <c r="U28" i="56"/>
  <c r="V28" i="56"/>
  <c r="W28" i="56"/>
  <c r="Y28" i="56"/>
  <c r="Z28" i="56"/>
  <c r="AA28" i="56"/>
  <c r="AC28" i="56"/>
  <c r="AD28" i="56"/>
  <c r="AE28" i="56"/>
  <c r="AG28" i="56"/>
  <c r="E26" i="56"/>
  <c r="F26" i="56"/>
  <c r="G26" i="56"/>
  <c r="H26" i="56"/>
  <c r="I26" i="56"/>
  <c r="J26" i="56"/>
  <c r="K26" i="56"/>
  <c r="L26" i="56"/>
  <c r="M26" i="56"/>
  <c r="N26" i="56"/>
  <c r="O26" i="56"/>
  <c r="P26" i="56"/>
  <c r="Q26" i="56"/>
  <c r="R26" i="56"/>
  <c r="S26" i="56"/>
  <c r="T26" i="56"/>
  <c r="U26" i="56"/>
  <c r="V26" i="56"/>
  <c r="W26" i="56"/>
  <c r="X26" i="56"/>
  <c r="Y26" i="56"/>
  <c r="Z26" i="56"/>
  <c r="AA26" i="56"/>
  <c r="AB26" i="56"/>
  <c r="AC26" i="56"/>
  <c r="AD26" i="56"/>
  <c r="AE26" i="56"/>
  <c r="AF26" i="56"/>
  <c r="AG26" i="56"/>
  <c r="AH26" i="56"/>
  <c r="D28" i="56"/>
  <c r="D26" i="56"/>
  <c r="E28" i="55"/>
  <c r="F28" i="55"/>
  <c r="G28" i="55"/>
  <c r="H28" i="55"/>
  <c r="I28" i="55"/>
  <c r="J28" i="55"/>
  <c r="K28" i="55"/>
  <c r="L28" i="55"/>
  <c r="M28" i="55"/>
  <c r="N28" i="55"/>
  <c r="O28" i="55"/>
  <c r="P28" i="55"/>
  <c r="Q28" i="55"/>
  <c r="R28" i="55"/>
  <c r="S28" i="55"/>
  <c r="T28" i="55"/>
  <c r="U28" i="55"/>
  <c r="V28" i="55"/>
  <c r="W28" i="55"/>
  <c r="X28" i="55"/>
  <c r="Y28" i="55"/>
  <c r="Z28" i="55"/>
  <c r="AA28" i="55"/>
  <c r="AB28" i="55"/>
  <c r="AC28" i="55"/>
  <c r="AD28" i="55"/>
  <c r="AE28" i="55"/>
  <c r="AF28" i="55"/>
  <c r="AG28" i="55"/>
  <c r="AH28" i="55"/>
  <c r="D28" i="55"/>
  <c r="E26" i="55"/>
  <c r="F26" i="55"/>
  <c r="G26" i="55"/>
  <c r="H26" i="55"/>
  <c r="I26" i="55"/>
  <c r="J26" i="55"/>
  <c r="K26" i="55"/>
  <c r="L26" i="55"/>
  <c r="M26" i="55"/>
  <c r="N26" i="55"/>
  <c r="O26" i="55"/>
  <c r="P26" i="55"/>
  <c r="Q26" i="55"/>
  <c r="R26" i="55"/>
  <c r="S26" i="55"/>
  <c r="T26" i="55"/>
  <c r="U26" i="55"/>
  <c r="V26" i="55"/>
  <c r="W26" i="55"/>
  <c r="X26" i="55"/>
  <c r="Y26" i="55"/>
  <c r="Z26" i="55"/>
  <c r="AA26" i="55"/>
  <c r="AB26" i="55"/>
  <c r="AC26" i="55"/>
  <c r="AD26" i="55"/>
  <c r="AE26" i="55"/>
  <c r="AF26" i="55"/>
  <c r="AG26" i="55"/>
  <c r="AH26" i="55"/>
  <c r="D26" i="55"/>
  <c r="E28" i="54"/>
  <c r="F28" i="54"/>
  <c r="G28" i="54"/>
  <c r="H28" i="54"/>
  <c r="I28" i="54"/>
  <c r="J28" i="54"/>
  <c r="K28" i="54"/>
  <c r="L28" i="54"/>
  <c r="M28" i="54"/>
  <c r="N28" i="54"/>
  <c r="O28" i="54"/>
  <c r="P28" i="54"/>
  <c r="Q28" i="54"/>
  <c r="R28" i="54"/>
  <c r="S28" i="54"/>
  <c r="T28" i="54"/>
  <c r="U28" i="54"/>
  <c r="V28" i="54"/>
  <c r="W28" i="54"/>
  <c r="X28" i="54"/>
  <c r="Y28" i="54"/>
  <c r="Z28" i="54"/>
  <c r="AA28" i="54"/>
  <c r="AB28" i="54"/>
  <c r="AC28" i="54"/>
  <c r="AD28" i="54"/>
  <c r="AE28" i="54"/>
  <c r="AF28" i="54"/>
  <c r="AG28" i="54"/>
  <c r="AH28" i="54"/>
  <c r="E26" i="54"/>
  <c r="F26" i="54"/>
  <c r="G26" i="54"/>
  <c r="H26" i="54"/>
  <c r="I26" i="54"/>
  <c r="J26" i="54"/>
  <c r="K26" i="54"/>
  <c r="L26" i="54"/>
  <c r="M26" i="54"/>
  <c r="N26" i="54"/>
  <c r="O26" i="54"/>
  <c r="P26" i="54"/>
  <c r="Q26" i="54"/>
  <c r="R26" i="54"/>
  <c r="S26" i="54"/>
  <c r="T26" i="54"/>
  <c r="U26" i="54"/>
  <c r="V26" i="54"/>
  <c r="W26" i="54"/>
  <c r="X26" i="54"/>
  <c r="Y26" i="54"/>
  <c r="Z26" i="54"/>
  <c r="AA26" i="54"/>
  <c r="AB26" i="54"/>
  <c r="AC26" i="54"/>
  <c r="AD26" i="54"/>
  <c r="AE26" i="54"/>
  <c r="AF26" i="54"/>
  <c r="AG26" i="54"/>
  <c r="AH26" i="54"/>
  <c r="D26" i="54"/>
  <c r="E28" i="53"/>
  <c r="F28" i="53"/>
  <c r="G28" i="53"/>
  <c r="H28" i="53"/>
  <c r="I28" i="53"/>
  <c r="J28" i="53"/>
  <c r="K28" i="53"/>
  <c r="L28" i="53"/>
  <c r="M28" i="53"/>
  <c r="N28" i="53"/>
  <c r="O28" i="53"/>
  <c r="P28" i="53"/>
  <c r="Q28" i="53"/>
  <c r="R28" i="53"/>
  <c r="S28" i="53"/>
  <c r="T28" i="53"/>
  <c r="U28" i="53"/>
  <c r="V28" i="53"/>
  <c r="W28" i="53"/>
  <c r="X28" i="53"/>
  <c r="Y28" i="53"/>
  <c r="Z28" i="53"/>
  <c r="AA28" i="53"/>
  <c r="AB28" i="53"/>
  <c r="AC28" i="53"/>
  <c r="AD28" i="53"/>
  <c r="AE28" i="53"/>
  <c r="AF28" i="53"/>
  <c r="AG28" i="53"/>
  <c r="D28" i="53"/>
  <c r="E26" i="53"/>
  <c r="F26" i="53"/>
  <c r="G26" i="53"/>
  <c r="H26" i="53"/>
  <c r="I26" i="53"/>
  <c r="J26" i="53"/>
  <c r="K26" i="53"/>
  <c r="L26" i="53"/>
  <c r="M26" i="53"/>
  <c r="N26" i="53"/>
  <c r="O26" i="53"/>
  <c r="P26" i="53"/>
  <c r="Q26" i="53"/>
  <c r="R26" i="53"/>
  <c r="S26" i="53"/>
  <c r="T26" i="53"/>
  <c r="U26" i="53"/>
  <c r="V26" i="53"/>
  <c r="W26" i="53"/>
  <c r="X26" i="53"/>
  <c r="Y26" i="53"/>
  <c r="Z26" i="53"/>
  <c r="AA26" i="53"/>
  <c r="AB26" i="53"/>
  <c r="AC26" i="53"/>
  <c r="AD26" i="53"/>
  <c r="AE26" i="53"/>
  <c r="AF26" i="53"/>
  <c r="AG26" i="53"/>
  <c r="D26" i="53"/>
  <c r="E28" i="52"/>
  <c r="F28" i="52"/>
  <c r="G28" i="52"/>
  <c r="H28" i="52"/>
  <c r="I28" i="52"/>
  <c r="J28" i="52"/>
  <c r="K28" i="52"/>
  <c r="L28" i="52"/>
  <c r="M28" i="52"/>
  <c r="N28" i="52"/>
  <c r="O28" i="52"/>
  <c r="P28" i="52"/>
  <c r="Q28" i="52"/>
  <c r="R28" i="52"/>
  <c r="S28" i="52"/>
  <c r="T28" i="52"/>
  <c r="U28" i="52"/>
  <c r="V28" i="52"/>
  <c r="W28" i="52"/>
  <c r="X28" i="52"/>
  <c r="Y28" i="52"/>
  <c r="Z28" i="52"/>
  <c r="AA28" i="52"/>
  <c r="AB28" i="52"/>
  <c r="AC28" i="52"/>
  <c r="AD28" i="52"/>
  <c r="AE28" i="52"/>
  <c r="AF28" i="52"/>
  <c r="AG28" i="52"/>
  <c r="AH28" i="52"/>
  <c r="D28" i="52"/>
  <c r="E26" i="52"/>
  <c r="F26" i="52"/>
  <c r="G26" i="52"/>
  <c r="H26" i="52"/>
  <c r="I26" i="52"/>
  <c r="J26" i="52"/>
  <c r="K26" i="52"/>
  <c r="L26" i="52"/>
  <c r="M26" i="52"/>
  <c r="N26" i="52"/>
  <c r="O26" i="52"/>
  <c r="P26" i="52"/>
  <c r="Q26" i="52"/>
  <c r="R26" i="52"/>
  <c r="S26" i="52"/>
  <c r="T26" i="52"/>
  <c r="U26" i="52"/>
  <c r="V26" i="52"/>
  <c r="W26" i="52"/>
  <c r="X26" i="52"/>
  <c r="Y26" i="52"/>
  <c r="Z26" i="52"/>
  <c r="AA26" i="52"/>
  <c r="AB26" i="52"/>
  <c r="AC26" i="52"/>
  <c r="AD26" i="52"/>
  <c r="AE26" i="52"/>
  <c r="AF26" i="52"/>
  <c r="AG26" i="52"/>
  <c r="AH26" i="52"/>
  <c r="D26" i="52"/>
  <c r="E28" i="51"/>
  <c r="F28" i="51"/>
  <c r="G28" i="51"/>
  <c r="H28" i="51"/>
  <c r="I28" i="51"/>
  <c r="J28" i="51"/>
  <c r="K28" i="51"/>
  <c r="L28" i="51"/>
  <c r="M28" i="51"/>
  <c r="N28" i="51"/>
  <c r="O28" i="51"/>
  <c r="P28" i="51"/>
  <c r="Q28" i="51"/>
  <c r="R28" i="51"/>
  <c r="S28" i="51"/>
  <c r="T28" i="51"/>
  <c r="U28" i="51"/>
  <c r="V28" i="51"/>
  <c r="W28" i="51"/>
  <c r="X28" i="51"/>
  <c r="Y28" i="51"/>
  <c r="Z28" i="51"/>
  <c r="AA28" i="51"/>
  <c r="AB28" i="51"/>
  <c r="AC28" i="51"/>
  <c r="AD28" i="51"/>
  <c r="AE28" i="51"/>
  <c r="AF28" i="51"/>
  <c r="AG28" i="51"/>
  <c r="AH28" i="51"/>
  <c r="D28" i="51"/>
  <c r="E26" i="51"/>
  <c r="F26" i="51"/>
  <c r="G26" i="51"/>
  <c r="H26" i="51"/>
  <c r="I26" i="51"/>
  <c r="J26" i="51"/>
  <c r="K26" i="51"/>
  <c r="L26" i="51"/>
  <c r="M26" i="51"/>
  <c r="N26" i="51"/>
  <c r="O26" i="51"/>
  <c r="P26" i="51"/>
  <c r="Q26" i="51"/>
  <c r="R26" i="51"/>
  <c r="S26" i="51"/>
  <c r="T26" i="51"/>
  <c r="U26" i="51"/>
  <c r="V26" i="51"/>
  <c r="W26" i="51"/>
  <c r="X26" i="51"/>
  <c r="Y26" i="51"/>
  <c r="Z26" i="51"/>
  <c r="AA26" i="51"/>
  <c r="AB26" i="51"/>
  <c r="AC26" i="51"/>
  <c r="AD26" i="51"/>
  <c r="AE26" i="51"/>
  <c r="AF26" i="51"/>
  <c r="AG26" i="51"/>
  <c r="AH26" i="51"/>
  <c r="D26" i="51"/>
  <c r="E28" i="50"/>
  <c r="F28" i="50"/>
  <c r="G28" i="50"/>
  <c r="H28" i="50"/>
  <c r="I28" i="50"/>
  <c r="J28" i="50"/>
  <c r="K28" i="50"/>
  <c r="L28" i="50"/>
  <c r="M28" i="50"/>
  <c r="N28" i="50"/>
  <c r="O28" i="50"/>
  <c r="P28" i="50"/>
  <c r="Q28" i="50"/>
  <c r="R28" i="50"/>
  <c r="S28" i="50"/>
  <c r="T28" i="50"/>
  <c r="U28" i="50"/>
  <c r="V28" i="50"/>
  <c r="W28" i="50"/>
  <c r="X28" i="50"/>
  <c r="Y28" i="50"/>
  <c r="Z28" i="50"/>
  <c r="AA28" i="50"/>
  <c r="AB28" i="50"/>
  <c r="AC28" i="50"/>
  <c r="AD28" i="50"/>
  <c r="AE28" i="50"/>
  <c r="AF28" i="50"/>
  <c r="AG28" i="50"/>
  <c r="D28" i="50"/>
  <c r="E26" i="50"/>
  <c r="F26" i="50"/>
  <c r="G26" i="50"/>
  <c r="H26" i="50"/>
  <c r="I26" i="50"/>
  <c r="J26" i="50"/>
  <c r="K26" i="50"/>
  <c r="L26" i="50"/>
  <c r="M26" i="50"/>
  <c r="N26" i="50"/>
  <c r="O26" i="50"/>
  <c r="P26" i="50"/>
  <c r="Q26" i="50"/>
  <c r="R26" i="50"/>
  <c r="S26" i="50"/>
  <c r="T26" i="50"/>
  <c r="U26" i="50"/>
  <c r="V26" i="50"/>
  <c r="W26" i="50"/>
  <c r="X26" i="50"/>
  <c r="Y26" i="50"/>
  <c r="Z26" i="50"/>
  <c r="AA26" i="50"/>
  <c r="AB26" i="50"/>
  <c r="AC26" i="50"/>
  <c r="AD26" i="50"/>
  <c r="AE26" i="50"/>
  <c r="AF26" i="50"/>
  <c r="AG26" i="50"/>
  <c r="D26" i="50"/>
  <c r="E28" i="49"/>
  <c r="F28" i="49"/>
  <c r="G28" i="49"/>
  <c r="H28" i="49"/>
  <c r="I28" i="49"/>
  <c r="J28" i="49"/>
  <c r="K28" i="49"/>
  <c r="L28" i="49"/>
  <c r="M28" i="49"/>
  <c r="N28" i="49"/>
  <c r="O28" i="49"/>
  <c r="P28" i="49"/>
  <c r="Q28" i="49"/>
  <c r="R28" i="49"/>
  <c r="S28" i="49"/>
  <c r="T28" i="49"/>
  <c r="U28" i="49"/>
  <c r="V28" i="49"/>
  <c r="W28" i="49"/>
  <c r="X28" i="49"/>
  <c r="Y28" i="49"/>
  <c r="Z28" i="49"/>
  <c r="AA28" i="49"/>
  <c r="AB28" i="49"/>
  <c r="AC28" i="49"/>
  <c r="AD28" i="49"/>
  <c r="AE28" i="49"/>
  <c r="AF28" i="49"/>
  <c r="AG28" i="49"/>
  <c r="AH28" i="49"/>
  <c r="D28" i="49"/>
  <c r="E26" i="49"/>
  <c r="F26" i="49"/>
  <c r="G26" i="49"/>
  <c r="H26" i="49"/>
  <c r="I26" i="49"/>
  <c r="J26" i="49"/>
  <c r="K26" i="49"/>
  <c r="L26" i="49"/>
  <c r="M26" i="49"/>
  <c r="N26" i="49"/>
  <c r="O26" i="49"/>
  <c r="P26" i="49"/>
  <c r="Q26" i="49"/>
  <c r="R26" i="49"/>
  <c r="S26" i="49"/>
  <c r="T26" i="49"/>
  <c r="U26" i="49"/>
  <c r="V26" i="49"/>
  <c r="W26" i="49"/>
  <c r="X26" i="49"/>
  <c r="Y26" i="49"/>
  <c r="Z26" i="49"/>
  <c r="AA26" i="49"/>
  <c r="AB26" i="49"/>
  <c r="AC26" i="49"/>
  <c r="AD26" i="49"/>
  <c r="AE26" i="49"/>
  <c r="AF26" i="49"/>
  <c r="AG26" i="49"/>
  <c r="AH26" i="49"/>
  <c r="E28" i="48"/>
  <c r="F28" i="48"/>
  <c r="G28" i="48"/>
  <c r="H28" i="48"/>
  <c r="I28" i="48"/>
  <c r="J28" i="48"/>
  <c r="K28" i="48"/>
  <c r="L28" i="48"/>
  <c r="M28" i="48"/>
  <c r="N28" i="48"/>
  <c r="O28" i="48"/>
  <c r="P28" i="48"/>
  <c r="Q28" i="48"/>
  <c r="R28" i="48"/>
  <c r="S28" i="48"/>
  <c r="T28" i="48"/>
  <c r="U28" i="48"/>
  <c r="V28" i="48"/>
  <c r="W28" i="48"/>
  <c r="X28" i="48"/>
  <c r="Y28" i="48"/>
  <c r="Z28" i="48"/>
  <c r="AA28" i="48"/>
  <c r="AB28" i="48"/>
  <c r="AC28" i="48"/>
  <c r="AD28" i="48"/>
  <c r="AE28" i="48"/>
  <c r="AF28" i="48"/>
  <c r="AG28" i="48"/>
  <c r="E26" i="48"/>
  <c r="F26" i="48"/>
  <c r="G26" i="48"/>
  <c r="H26" i="48"/>
  <c r="I26" i="48"/>
  <c r="J26" i="48"/>
  <c r="K26" i="48"/>
  <c r="L26" i="48"/>
  <c r="M26" i="48"/>
  <c r="N26" i="48"/>
  <c r="O26" i="48"/>
  <c r="P26" i="48"/>
  <c r="Q26" i="48"/>
  <c r="R26" i="48"/>
  <c r="S26" i="48"/>
  <c r="T26" i="48"/>
  <c r="U26" i="48"/>
  <c r="V26" i="48"/>
  <c r="W26" i="48"/>
  <c r="X26" i="48"/>
  <c r="Y26" i="48"/>
  <c r="Z26" i="48"/>
  <c r="AA26" i="48"/>
  <c r="AB26" i="48"/>
  <c r="AC26" i="48"/>
  <c r="AD26" i="48"/>
  <c r="AE26" i="48"/>
  <c r="AF26" i="48"/>
  <c r="AG26" i="48"/>
  <c r="AH26" i="48"/>
  <c r="D28" i="48"/>
  <c r="D26" i="48"/>
  <c r="E28" i="47"/>
  <c r="F28" i="47"/>
  <c r="G28" i="47"/>
  <c r="H28" i="47"/>
  <c r="I28" i="47"/>
  <c r="J28" i="47"/>
  <c r="K28" i="47"/>
  <c r="L28" i="47"/>
  <c r="M28" i="47"/>
  <c r="N28" i="47"/>
  <c r="O28" i="47"/>
  <c r="P28" i="47"/>
  <c r="Q28" i="47"/>
  <c r="R28" i="47"/>
  <c r="S28" i="47"/>
  <c r="T28" i="47"/>
  <c r="U28" i="47"/>
  <c r="V28" i="47"/>
  <c r="W28" i="47"/>
  <c r="X28" i="47"/>
  <c r="Y28" i="47"/>
  <c r="Z28" i="47"/>
  <c r="AA28" i="47"/>
  <c r="AB28" i="47"/>
  <c r="AC28" i="47"/>
  <c r="AD28" i="47"/>
  <c r="AE28" i="47"/>
  <c r="AF28" i="47"/>
  <c r="AG28" i="47"/>
  <c r="AH28" i="47"/>
  <c r="E26" i="47"/>
  <c r="F26" i="47"/>
  <c r="G26" i="47"/>
  <c r="H26" i="47"/>
  <c r="I26" i="47"/>
  <c r="J26" i="47"/>
  <c r="K26" i="47"/>
  <c r="L26" i="47"/>
  <c r="M26" i="47"/>
  <c r="N26" i="47"/>
  <c r="O26" i="47"/>
  <c r="P26" i="47"/>
  <c r="Q26" i="47"/>
  <c r="R26" i="47"/>
  <c r="S26" i="47"/>
  <c r="T26" i="47"/>
  <c r="U26" i="47"/>
  <c r="V26" i="47"/>
  <c r="W26" i="47"/>
  <c r="X26" i="47"/>
  <c r="Y26" i="47"/>
  <c r="Z26" i="47"/>
  <c r="AA26" i="47"/>
  <c r="AB26" i="47"/>
  <c r="AC26" i="47"/>
  <c r="AD26" i="47"/>
  <c r="AE26" i="47"/>
  <c r="AF26" i="47"/>
  <c r="AG26" i="47"/>
  <c r="AH26" i="47"/>
  <c r="D28" i="47"/>
  <c r="D26" i="47"/>
  <c r="G28" i="46"/>
  <c r="H28" i="46"/>
  <c r="I28" i="46"/>
  <c r="J28" i="46"/>
  <c r="K28" i="46"/>
  <c r="L28" i="46"/>
  <c r="M28" i="46"/>
  <c r="N28" i="46"/>
  <c r="O28" i="46"/>
  <c r="P28" i="46"/>
  <c r="Q28" i="46"/>
  <c r="R28" i="46"/>
  <c r="S28" i="46"/>
  <c r="T28" i="46"/>
  <c r="U28" i="46"/>
  <c r="V28" i="46"/>
  <c r="W28" i="46"/>
  <c r="X28" i="46"/>
  <c r="Y28" i="46"/>
  <c r="Z28" i="46"/>
  <c r="AA28" i="46"/>
  <c r="AB28" i="46"/>
  <c r="AC28" i="46"/>
  <c r="AD28" i="46"/>
  <c r="E26" i="46"/>
  <c r="F26" i="46"/>
  <c r="G26" i="46"/>
  <c r="H26" i="46"/>
  <c r="I26" i="46"/>
  <c r="J26" i="46"/>
  <c r="K26" i="46"/>
  <c r="L26" i="46"/>
  <c r="M26" i="46"/>
  <c r="N26" i="46"/>
  <c r="O26" i="46"/>
  <c r="P26" i="46"/>
  <c r="Q26" i="46"/>
  <c r="R26" i="46"/>
  <c r="S26" i="46"/>
  <c r="T26" i="46"/>
  <c r="U26" i="46"/>
  <c r="V26" i="46"/>
  <c r="W26" i="46"/>
  <c r="X26" i="46"/>
  <c r="Y26" i="46"/>
  <c r="Z26" i="46"/>
  <c r="AA26" i="46"/>
  <c r="AB26" i="46"/>
  <c r="AC26" i="46"/>
  <c r="AD26" i="46"/>
  <c r="AE26" i="46"/>
  <c r="AF26" i="46"/>
  <c r="D26" i="46"/>
  <c r="D28" i="42"/>
  <c r="AI28" i="50"/>
  <c r="AI26" i="48"/>
  <c r="AI26" i="50"/>
  <c r="AI28" i="56"/>
  <c r="AI28" i="48"/>
  <c r="AI26" i="55"/>
  <c r="AI28" i="55"/>
  <c r="AJ24" i="55"/>
  <c r="AI26" i="53"/>
  <c r="AI28" i="53"/>
  <c r="AJ24" i="53"/>
  <c r="E28" i="42"/>
  <c r="F28" i="42"/>
  <c r="G28" i="42"/>
  <c r="H28" i="42"/>
  <c r="I28" i="42"/>
  <c r="J28" i="42"/>
  <c r="K28" i="42"/>
  <c r="L28" i="42"/>
  <c r="M28" i="42"/>
  <c r="N28" i="42"/>
  <c r="O28" i="42"/>
  <c r="P28" i="42"/>
  <c r="Q28" i="42"/>
  <c r="R28" i="42"/>
  <c r="S28" i="42"/>
  <c r="T28" i="42"/>
  <c r="U28" i="42"/>
  <c r="V28" i="42"/>
  <c r="W28" i="42"/>
  <c r="X28" i="42"/>
  <c r="Y28" i="42"/>
  <c r="Z28" i="42"/>
  <c r="AA28" i="42"/>
  <c r="AB28" i="42"/>
  <c r="AC28" i="42"/>
  <c r="AD28" i="42"/>
  <c r="AE28" i="42"/>
  <c r="AF28" i="42"/>
  <c r="AG28" i="42"/>
  <c r="AH28" i="42"/>
  <c r="E26" i="42"/>
  <c r="F26" i="42"/>
  <c r="G26" i="42"/>
  <c r="H26" i="42"/>
  <c r="I26" i="42"/>
  <c r="J26" i="42"/>
  <c r="K26" i="42"/>
  <c r="L26" i="42"/>
  <c r="M26" i="42"/>
  <c r="N26" i="42"/>
  <c r="O26" i="42"/>
  <c r="P26" i="42"/>
  <c r="Q26" i="42"/>
  <c r="R26" i="42"/>
  <c r="S26" i="42"/>
  <c r="T26" i="42"/>
  <c r="U26" i="42"/>
  <c r="V26" i="42"/>
  <c r="W26" i="42"/>
  <c r="X26" i="42"/>
  <c r="Y26" i="42"/>
  <c r="Z26" i="42"/>
  <c r="AA26" i="42"/>
  <c r="AB26" i="42"/>
  <c r="AC26" i="42"/>
  <c r="AD26" i="42"/>
  <c r="AE26" i="42"/>
  <c r="AF26" i="42"/>
  <c r="AG26" i="42"/>
  <c r="AH26" i="42"/>
  <c r="G5" i="39"/>
  <c r="G6" i="39"/>
  <c r="G7" i="39"/>
  <c r="G8" i="39"/>
  <c r="G12" i="39"/>
  <c r="G13" i="39"/>
  <c r="G14" i="39"/>
  <c r="G15" i="39"/>
  <c r="G16" i="39"/>
  <c r="G17" i="39"/>
  <c r="G18" i="39"/>
  <c r="G19" i="39"/>
  <c r="G31" i="39"/>
  <c r="C39" i="46"/>
  <c r="D25" i="42"/>
  <c r="D3" i="42"/>
  <c r="E3" i="42"/>
  <c r="F3" i="42"/>
  <c r="G3" i="42"/>
  <c r="H3" i="42"/>
  <c r="I3" i="42"/>
  <c r="J3" i="42"/>
  <c r="K3" i="42"/>
  <c r="L3" i="42"/>
  <c r="M3" i="42"/>
  <c r="N3" i="42"/>
  <c r="O3" i="42"/>
  <c r="P3" i="42"/>
  <c r="Q3" i="42"/>
  <c r="R3" i="42"/>
  <c r="S3" i="42"/>
  <c r="T3" i="42"/>
  <c r="U3" i="42"/>
  <c r="V3" i="42"/>
  <c r="W3" i="42"/>
  <c r="X3" i="42"/>
  <c r="Y3" i="42"/>
  <c r="Z3" i="42"/>
  <c r="AA3" i="42"/>
  <c r="AB3" i="42"/>
  <c r="AC3" i="42"/>
  <c r="AD3" i="42"/>
  <c r="AE3" i="42"/>
  <c r="AF3" i="42"/>
  <c r="AG3" i="42"/>
  <c r="AH3" i="42"/>
  <c r="B11" i="42"/>
  <c r="G34" i="39"/>
  <c r="I34" i="39"/>
  <c r="G33" i="39"/>
  <c r="I33" i="39"/>
  <c r="I5" i="39"/>
  <c r="D6" i="44"/>
  <c r="Q33" i="42"/>
  <c r="B22" i="42"/>
  <c r="B21" i="42"/>
  <c r="B4" i="42"/>
  <c r="E25" i="42"/>
  <c r="F25" i="42"/>
  <c r="G25" i="42"/>
  <c r="G34" i="46"/>
  <c r="G34" i="47"/>
  <c r="G34" i="48"/>
  <c r="G34" i="49"/>
  <c r="G34" i="50"/>
  <c r="G34" i="51"/>
  <c r="G34" i="52"/>
  <c r="G34" i="53"/>
  <c r="G34" i="54"/>
  <c r="G34" i="55"/>
  <c r="G34" i="56"/>
  <c r="G34" i="42"/>
  <c r="B34" i="46"/>
  <c r="B34" i="47"/>
  <c r="B34" i="48"/>
  <c r="B34" i="49"/>
  <c r="B34" i="50"/>
  <c r="B34" i="51"/>
  <c r="B34" i="52"/>
  <c r="B34" i="53"/>
  <c r="B34" i="54"/>
  <c r="B34" i="55"/>
  <c r="B34" i="56"/>
  <c r="B34" i="42"/>
  <c r="B23" i="42"/>
  <c r="B20" i="42"/>
  <c r="B19" i="42"/>
  <c r="B18" i="42"/>
  <c r="B17" i="42"/>
  <c r="B16" i="42"/>
  <c r="B15" i="42"/>
  <c r="B14" i="42"/>
  <c r="B13" i="42"/>
  <c r="B12" i="42"/>
  <c r="B10" i="42"/>
  <c r="B9" i="42"/>
  <c r="B8" i="42"/>
  <c r="B7" i="42"/>
  <c r="B6" i="42"/>
  <c r="B5" i="42"/>
  <c r="Y9" i="44"/>
  <c r="AD9" i="44"/>
  <c r="Y10" i="44"/>
  <c r="AD10" i="44"/>
  <c r="Y11" i="44"/>
  <c r="AD11" i="44"/>
  <c r="Y12" i="44"/>
  <c r="AD12" i="44"/>
  <c r="Y13" i="44"/>
  <c r="AD13" i="44"/>
  <c r="Y14" i="44"/>
  <c r="AD14" i="44"/>
  <c r="Y15" i="44"/>
  <c r="AD15" i="44"/>
  <c r="Y16" i="44"/>
  <c r="AD16" i="44"/>
  <c r="Y17" i="44"/>
  <c r="AD17" i="44"/>
  <c r="Y18" i="44"/>
  <c r="AD18" i="44"/>
  <c r="Y19" i="44"/>
  <c r="AD19" i="44"/>
  <c r="Y20" i="44"/>
  <c r="AD20" i="44"/>
  <c r="Y21" i="44"/>
  <c r="AD21" i="44"/>
  <c r="Y22" i="44"/>
  <c r="AD22" i="44"/>
  <c r="Y23" i="44"/>
  <c r="AD23" i="44"/>
  <c r="Y24" i="44"/>
  <c r="AD24" i="44"/>
  <c r="Y25" i="44"/>
  <c r="AD25" i="44"/>
  <c r="Y26" i="44"/>
  <c r="AD26" i="44"/>
  <c r="Y8" i="44"/>
  <c r="AD8" i="44"/>
  <c r="Z26" i="44"/>
  <c r="AE26" i="44"/>
  <c r="Z25" i="44"/>
  <c r="AE25" i="44"/>
  <c r="Z24" i="44"/>
  <c r="AE24" i="44"/>
  <c r="Z23" i="44"/>
  <c r="AE23" i="44"/>
  <c r="Z22" i="44"/>
  <c r="AE22" i="44"/>
  <c r="Z21" i="44"/>
  <c r="AE21" i="44"/>
  <c r="Z20" i="44"/>
  <c r="AE20" i="44"/>
  <c r="Z19" i="44"/>
  <c r="AE19" i="44"/>
  <c r="Z18" i="44"/>
  <c r="AE18" i="44"/>
  <c r="Z17" i="44"/>
  <c r="AE17" i="44"/>
  <c r="Z16" i="44"/>
  <c r="AE16" i="44"/>
  <c r="Z15" i="44"/>
  <c r="AE15" i="44"/>
  <c r="Z14" i="44"/>
  <c r="AE14" i="44"/>
  <c r="Z13" i="44"/>
  <c r="AE13" i="44"/>
  <c r="Z12" i="44"/>
  <c r="AE12" i="44"/>
  <c r="Z11" i="44"/>
  <c r="AE11" i="44"/>
  <c r="Z10" i="44"/>
  <c r="AE10" i="44"/>
  <c r="Z9" i="44"/>
  <c r="AE9" i="44"/>
  <c r="Z8" i="44"/>
  <c r="AE8" i="44"/>
  <c r="AF9" i="44"/>
  <c r="AF10" i="44"/>
  <c r="AF11" i="44"/>
  <c r="AF12" i="44"/>
  <c r="AF13" i="44"/>
  <c r="AF14" i="44"/>
  <c r="AF15" i="44"/>
  <c r="AF16" i="44"/>
  <c r="AF17" i="44"/>
  <c r="AF18" i="44"/>
  <c r="AF19" i="44"/>
  <c r="AF20" i="44"/>
  <c r="AF21" i="44"/>
  <c r="AF22" i="44"/>
  <c r="AF23" i="44"/>
  <c r="AF24" i="44"/>
  <c r="AF25" i="44"/>
  <c r="AF26" i="44"/>
  <c r="AF8" i="44"/>
  <c r="X26" i="44"/>
  <c r="AC26" i="44"/>
  <c r="X25" i="44"/>
  <c r="AC25" i="44"/>
  <c r="X24" i="44"/>
  <c r="AC24" i="44"/>
  <c r="X23" i="44"/>
  <c r="AC23" i="44"/>
  <c r="X22" i="44"/>
  <c r="AC22" i="44"/>
  <c r="X21" i="44"/>
  <c r="AC21" i="44"/>
  <c r="X20" i="44"/>
  <c r="AC20" i="44"/>
  <c r="X19" i="44"/>
  <c r="AC19" i="44"/>
  <c r="X18" i="44"/>
  <c r="AC18" i="44"/>
  <c r="X17" i="44"/>
  <c r="AC17" i="44"/>
  <c r="X16" i="44"/>
  <c r="AC16" i="44"/>
  <c r="X15" i="44"/>
  <c r="AC15" i="44"/>
  <c r="X14" i="44"/>
  <c r="AC14" i="44"/>
  <c r="X13" i="44"/>
  <c r="AC13" i="44"/>
  <c r="X12" i="44"/>
  <c r="AC12" i="44"/>
  <c r="X11" i="44"/>
  <c r="AC11" i="44"/>
  <c r="X10" i="44"/>
  <c r="AC10" i="44"/>
  <c r="X9" i="44"/>
  <c r="AC9" i="44"/>
  <c r="X8" i="44"/>
  <c r="AC8" i="44"/>
  <c r="AB26" i="44"/>
  <c r="W26" i="44"/>
  <c r="AA26" i="44"/>
  <c r="AB25" i="44"/>
  <c r="W25" i="44"/>
  <c r="AA25" i="44"/>
  <c r="AB24" i="44"/>
  <c r="W24" i="44"/>
  <c r="AA24" i="44"/>
  <c r="AB23" i="44"/>
  <c r="W23" i="44"/>
  <c r="AA23" i="44"/>
  <c r="AB22" i="44"/>
  <c r="W22" i="44"/>
  <c r="AA22" i="44"/>
  <c r="AB21" i="44"/>
  <c r="W21" i="44"/>
  <c r="AA21" i="44"/>
  <c r="AB20" i="44"/>
  <c r="W20" i="44"/>
  <c r="AA20" i="44"/>
  <c r="AB19" i="44"/>
  <c r="W19" i="44"/>
  <c r="AA19" i="44"/>
  <c r="AB18" i="44"/>
  <c r="W18" i="44"/>
  <c r="AA18" i="44"/>
  <c r="AB17" i="44"/>
  <c r="W17" i="44"/>
  <c r="AA17" i="44"/>
  <c r="AB16" i="44"/>
  <c r="W16" i="44"/>
  <c r="AA16" i="44"/>
  <c r="AB15" i="44"/>
  <c r="W15" i="44"/>
  <c r="AA15" i="44"/>
  <c r="AB14" i="44"/>
  <c r="W14" i="44"/>
  <c r="AA14" i="44"/>
  <c r="AB13" i="44"/>
  <c r="W13" i="44"/>
  <c r="AA13" i="44"/>
  <c r="AB12" i="44"/>
  <c r="W12" i="44"/>
  <c r="AA12" i="44"/>
  <c r="AB11" i="44"/>
  <c r="W11" i="44"/>
  <c r="AA11" i="44"/>
  <c r="AB10" i="44"/>
  <c r="W10" i="44"/>
  <c r="AA10" i="44"/>
  <c r="AB9" i="44"/>
  <c r="W9" i="44"/>
  <c r="AA9" i="44"/>
  <c r="AB8" i="44"/>
  <c r="W8" i="44"/>
  <c r="AA8" i="44"/>
  <c r="I1" i="57"/>
  <c r="C1" i="57"/>
  <c r="B6" i="57"/>
  <c r="AI5" i="56"/>
  <c r="O5" i="57"/>
  <c r="AI6" i="56"/>
  <c r="O6" i="57"/>
  <c r="AI7" i="56"/>
  <c r="O7" i="57"/>
  <c r="AI8" i="56"/>
  <c r="O8" i="57"/>
  <c r="AI9" i="56"/>
  <c r="O9" i="57"/>
  <c r="AI10" i="56"/>
  <c r="O10" i="57"/>
  <c r="AI11" i="56"/>
  <c r="O11" i="57"/>
  <c r="AI12" i="56"/>
  <c r="O12" i="57"/>
  <c r="AI13" i="56"/>
  <c r="O13" i="57"/>
  <c r="AI14" i="56"/>
  <c r="O14" i="57"/>
  <c r="AI15" i="56"/>
  <c r="O15" i="57"/>
  <c r="AI16" i="56"/>
  <c r="O16" i="57"/>
  <c r="AI17" i="56"/>
  <c r="O17" i="57"/>
  <c r="AI18" i="56"/>
  <c r="O18" i="57"/>
  <c r="AI19" i="56"/>
  <c r="O19" i="57"/>
  <c r="AI20" i="56"/>
  <c r="O20" i="57"/>
  <c r="AI21" i="56"/>
  <c r="O21" i="57"/>
  <c r="AI22" i="56"/>
  <c r="O22" i="57"/>
  <c r="AI23" i="56"/>
  <c r="O23" i="57"/>
  <c r="AI4" i="56"/>
  <c r="O4" i="57"/>
  <c r="L5" i="57"/>
  <c r="G5" i="57"/>
  <c r="E28" i="46"/>
  <c r="AI5" i="42"/>
  <c r="D5" i="57"/>
  <c r="AI6" i="42"/>
  <c r="D6" i="57"/>
  <c r="AI4" i="47"/>
  <c r="F4" i="57"/>
  <c r="E22" i="57"/>
  <c r="E21" i="57"/>
  <c r="E7" i="57"/>
  <c r="E5" i="57"/>
  <c r="E4" i="57"/>
  <c r="AI4" i="42"/>
  <c r="D4" i="57"/>
  <c r="L19" i="57"/>
  <c r="B23" i="57"/>
  <c r="B22" i="57"/>
  <c r="B21" i="57"/>
  <c r="B20" i="57"/>
  <c r="B19" i="57"/>
  <c r="B18" i="57"/>
  <c r="B17" i="57"/>
  <c r="B16" i="57"/>
  <c r="B15" i="57"/>
  <c r="B14" i="57"/>
  <c r="B13" i="57"/>
  <c r="B12" i="57"/>
  <c r="B11" i="57"/>
  <c r="B10" i="57"/>
  <c r="B9" i="57"/>
  <c r="B8" i="57"/>
  <c r="B7" i="57"/>
  <c r="B5" i="57"/>
  <c r="B4" i="57"/>
  <c r="C2" i="57"/>
  <c r="C39" i="56"/>
  <c r="C2" i="56"/>
  <c r="G33" i="56"/>
  <c r="B33" i="56"/>
  <c r="AH25" i="56"/>
  <c r="AG25" i="56"/>
  <c r="AF25" i="56"/>
  <c r="AE25" i="56"/>
  <c r="AD25" i="56"/>
  <c r="AC25" i="56"/>
  <c r="AB25" i="56"/>
  <c r="AA25" i="56"/>
  <c r="Z25" i="56"/>
  <c r="Y25" i="56"/>
  <c r="X25" i="56"/>
  <c r="W25" i="56"/>
  <c r="V25" i="56"/>
  <c r="U25" i="56"/>
  <c r="T25" i="56"/>
  <c r="S25" i="56"/>
  <c r="R25" i="56"/>
  <c r="Q25" i="56"/>
  <c r="P25" i="56"/>
  <c r="O25" i="56"/>
  <c r="N25" i="56"/>
  <c r="M25" i="56"/>
  <c r="L25" i="56"/>
  <c r="K25" i="56"/>
  <c r="J25" i="56"/>
  <c r="I25" i="56"/>
  <c r="H25" i="56"/>
  <c r="G25" i="56"/>
  <c r="F25" i="56"/>
  <c r="E25" i="56"/>
  <c r="B23" i="56"/>
  <c r="B22" i="56"/>
  <c r="B21" i="56"/>
  <c r="B20" i="56"/>
  <c r="B19" i="56"/>
  <c r="B18" i="56"/>
  <c r="B17" i="56"/>
  <c r="B16" i="56"/>
  <c r="B15" i="56"/>
  <c r="B14" i="56"/>
  <c r="B13" i="56"/>
  <c r="B12" i="56"/>
  <c r="B11" i="56"/>
  <c r="B10" i="56"/>
  <c r="B9" i="56"/>
  <c r="B8" i="56"/>
  <c r="B7" i="56"/>
  <c r="B6" i="56"/>
  <c r="B5" i="56"/>
  <c r="B4" i="56"/>
  <c r="C1" i="56"/>
  <c r="Q1" i="56"/>
  <c r="C39" i="55"/>
  <c r="C2" i="55"/>
  <c r="G33" i="55"/>
  <c r="B33" i="55"/>
  <c r="AH25" i="55"/>
  <c r="AG25" i="55"/>
  <c r="AF25" i="55"/>
  <c r="AE25" i="55"/>
  <c r="AD25" i="55"/>
  <c r="AC25" i="55"/>
  <c r="AB25" i="55"/>
  <c r="AA25" i="55"/>
  <c r="Z25" i="55"/>
  <c r="Y25" i="55"/>
  <c r="X25" i="55"/>
  <c r="W25" i="55"/>
  <c r="V25" i="55"/>
  <c r="U25" i="55"/>
  <c r="T25" i="55"/>
  <c r="S25" i="55"/>
  <c r="R25" i="55"/>
  <c r="Q25" i="55"/>
  <c r="P25" i="55"/>
  <c r="O25" i="55"/>
  <c r="N25" i="55"/>
  <c r="M25" i="55"/>
  <c r="L25" i="55"/>
  <c r="K25" i="55"/>
  <c r="J25" i="55"/>
  <c r="I25" i="55"/>
  <c r="H25" i="55"/>
  <c r="G25" i="55"/>
  <c r="F25" i="55"/>
  <c r="E25" i="55"/>
  <c r="D25" i="55"/>
  <c r="N23" i="57"/>
  <c r="B23" i="55"/>
  <c r="N22" i="57"/>
  <c r="B22" i="55"/>
  <c r="N21" i="57"/>
  <c r="B21" i="55"/>
  <c r="N20" i="57"/>
  <c r="B20" i="55"/>
  <c r="N19" i="57"/>
  <c r="B19" i="55"/>
  <c r="N18" i="57"/>
  <c r="B18" i="55"/>
  <c r="N17" i="57"/>
  <c r="B17" i="55"/>
  <c r="N16" i="57"/>
  <c r="B16" i="55"/>
  <c r="N15" i="57"/>
  <c r="B15" i="55"/>
  <c r="N14" i="57"/>
  <c r="B14" i="55"/>
  <c r="N13" i="57"/>
  <c r="B13" i="55"/>
  <c r="N12" i="57"/>
  <c r="B12" i="55"/>
  <c r="N11" i="57"/>
  <c r="B11" i="55"/>
  <c r="N10" i="57"/>
  <c r="B10" i="55"/>
  <c r="N9" i="57"/>
  <c r="B9" i="55"/>
  <c r="N8" i="57"/>
  <c r="B8" i="55"/>
  <c r="N7" i="57"/>
  <c r="B7" i="55"/>
  <c r="N6" i="57"/>
  <c r="B6" i="55"/>
  <c r="N5" i="57"/>
  <c r="B5" i="55"/>
  <c r="N4" i="57"/>
  <c r="B4" i="55"/>
  <c r="C1" i="55"/>
  <c r="Q1" i="55"/>
  <c r="C39" i="54"/>
  <c r="C2" i="54"/>
  <c r="G33" i="54"/>
  <c r="B33" i="54"/>
  <c r="AH25" i="54"/>
  <c r="AG25" i="54"/>
  <c r="AF25" i="54"/>
  <c r="AE25" i="54"/>
  <c r="AD25" i="54"/>
  <c r="AC25" i="54"/>
  <c r="AB25" i="54"/>
  <c r="AA25" i="54"/>
  <c r="Z25" i="54"/>
  <c r="Y25" i="54"/>
  <c r="X25" i="54"/>
  <c r="W25" i="54"/>
  <c r="V25" i="54"/>
  <c r="U25" i="54"/>
  <c r="T25" i="54"/>
  <c r="S25" i="54"/>
  <c r="R25" i="54"/>
  <c r="Q25" i="54"/>
  <c r="P25" i="54"/>
  <c r="O25" i="54"/>
  <c r="N25" i="54"/>
  <c r="M25" i="54"/>
  <c r="L25" i="54"/>
  <c r="K25" i="54"/>
  <c r="J25" i="54"/>
  <c r="I25" i="54"/>
  <c r="H25" i="54"/>
  <c r="G25" i="54"/>
  <c r="F25" i="54"/>
  <c r="E25" i="54"/>
  <c r="D25" i="54"/>
  <c r="D28" i="54"/>
  <c r="AI28" i="54"/>
  <c r="AI23" i="54"/>
  <c r="M23" i="57"/>
  <c r="B23" i="54"/>
  <c r="AI22" i="54"/>
  <c r="M22" i="57"/>
  <c r="B22" i="54"/>
  <c r="AI21" i="54"/>
  <c r="M21" i="57"/>
  <c r="B21" i="54"/>
  <c r="AI20" i="54"/>
  <c r="M20" i="57"/>
  <c r="B20" i="54"/>
  <c r="AI19" i="54"/>
  <c r="M19" i="57"/>
  <c r="B19" i="54"/>
  <c r="AI18" i="54"/>
  <c r="M18" i="57"/>
  <c r="B18" i="54"/>
  <c r="AI17" i="54"/>
  <c r="M17" i="57"/>
  <c r="B17" i="54"/>
  <c r="AI16" i="54"/>
  <c r="M16" i="57"/>
  <c r="B16" i="54"/>
  <c r="AI15" i="54"/>
  <c r="M15" i="57"/>
  <c r="B15" i="54"/>
  <c r="AI14" i="54"/>
  <c r="M14" i="57"/>
  <c r="B14" i="54"/>
  <c r="AI13" i="54"/>
  <c r="M13" i="57"/>
  <c r="B13" i="54"/>
  <c r="AI12" i="54"/>
  <c r="M12" i="57"/>
  <c r="B12" i="54"/>
  <c r="AI11" i="54"/>
  <c r="M11" i="57"/>
  <c r="B11" i="54"/>
  <c r="AI10" i="54"/>
  <c r="M10" i="57"/>
  <c r="B10" i="54"/>
  <c r="AI9" i="54"/>
  <c r="M9" i="57"/>
  <c r="B9" i="54"/>
  <c r="AI8" i="54"/>
  <c r="M8" i="57"/>
  <c r="B8" i="54"/>
  <c r="AI7" i="54"/>
  <c r="M7" i="57"/>
  <c r="B7" i="54"/>
  <c r="AI6" i="54"/>
  <c r="M6" i="57"/>
  <c r="B6" i="54"/>
  <c r="AI5" i="54"/>
  <c r="M5" i="57"/>
  <c r="B5" i="54"/>
  <c r="AI4" i="54"/>
  <c r="M4" i="57"/>
  <c r="B4" i="54"/>
  <c r="C1" i="54"/>
  <c r="Q1" i="54"/>
  <c r="C39" i="53"/>
  <c r="C2" i="53"/>
  <c r="G33" i="53"/>
  <c r="B33" i="53"/>
  <c r="AG25" i="53"/>
  <c r="AF25" i="53"/>
  <c r="AE25" i="53"/>
  <c r="AD25" i="53"/>
  <c r="AC25" i="53"/>
  <c r="AB25" i="53"/>
  <c r="AA25" i="53"/>
  <c r="Z25" i="53"/>
  <c r="Y25" i="53"/>
  <c r="X25" i="53"/>
  <c r="W25" i="53"/>
  <c r="V25" i="53"/>
  <c r="U25" i="53"/>
  <c r="T25" i="53"/>
  <c r="S25" i="53"/>
  <c r="R25" i="53"/>
  <c r="Q25" i="53"/>
  <c r="P25" i="53"/>
  <c r="O25" i="53"/>
  <c r="N25" i="53"/>
  <c r="M25" i="53"/>
  <c r="L25" i="53"/>
  <c r="K25" i="53"/>
  <c r="J25" i="53"/>
  <c r="I25" i="53"/>
  <c r="H25" i="53"/>
  <c r="G25" i="53"/>
  <c r="F25" i="53"/>
  <c r="E25" i="53"/>
  <c r="D25" i="53"/>
  <c r="L23" i="57"/>
  <c r="B23" i="53"/>
  <c r="L22" i="57"/>
  <c r="B22" i="53"/>
  <c r="B21" i="53"/>
  <c r="L20" i="57"/>
  <c r="B20" i="53"/>
  <c r="B19" i="53"/>
  <c r="L18" i="57"/>
  <c r="B18" i="53"/>
  <c r="L17" i="57"/>
  <c r="B17" i="53"/>
  <c r="L16" i="57"/>
  <c r="B16" i="53"/>
  <c r="L15" i="57"/>
  <c r="B15" i="53"/>
  <c r="L14" i="57"/>
  <c r="B14" i="53"/>
  <c r="L13" i="57"/>
  <c r="B13" i="53"/>
  <c r="L12" i="57"/>
  <c r="B12" i="53"/>
  <c r="L11" i="57"/>
  <c r="B11" i="53"/>
  <c r="L10" i="57"/>
  <c r="B10" i="53"/>
  <c r="L9" i="57"/>
  <c r="B9" i="53"/>
  <c r="L8" i="57"/>
  <c r="B8" i="53"/>
  <c r="L7" i="57"/>
  <c r="B7" i="53"/>
  <c r="L6" i="57"/>
  <c r="B6" i="53"/>
  <c r="B5" i="53"/>
  <c r="L4" i="57"/>
  <c r="B4" i="53"/>
  <c r="C1" i="53"/>
  <c r="Q1" i="53"/>
  <c r="C39" i="52"/>
  <c r="C2" i="52"/>
  <c r="G33" i="52"/>
  <c r="B33" i="52"/>
  <c r="AH25" i="52"/>
  <c r="AG25" i="52"/>
  <c r="AF25" i="52"/>
  <c r="AE25" i="52"/>
  <c r="AD25" i="52"/>
  <c r="AC25" i="52"/>
  <c r="AB25" i="52"/>
  <c r="AA25" i="52"/>
  <c r="Z25" i="52"/>
  <c r="Y25" i="52"/>
  <c r="X25" i="52"/>
  <c r="W25" i="52"/>
  <c r="V25" i="52"/>
  <c r="U25" i="52"/>
  <c r="T25" i="52"/>
  <c r="S25" i="52"/>
  <c r="R25" i="52"/>
  <c r="Q25" i="52"/>
  <c r="P25" i="52"/>
  <c r="O25" i="52"/>
  <c r="N25" i="52"/>
  <c r="M25" i="52"/>
  <c r="L25" i="52"/>
  <c r="K25" i="52"/>
  <c r="J25" i="52"/>
  <c r="I25" i="52"/>
  <c r="H25" i="52"/>
  <c r="G25" i="52"/>
  <c r="F25" i="52"/>
  <c r="E25" i="52"/>
  <c r="D25" i="52"/>
  <c r="AI23" i="52"/>
  <c r="K23" i="57"/>
  <c r="B23" i="52"/>
  <c r="AI22" i="52"/>
  <c r="K22" i="57"/>
  <c r="B22" i="52"/>
  <c r="AI21" i="52"/>
  <c r="K21" i="57"/>
  <c r="B21" i="52"/>
  <c r="AI20" i="52"/>
  <c r="K20" i="57"/>
  <c r="B20" i="52"/>
  <c r="AI19" i="52"/>
  <c r="K19" i="57"/>
  <c r="B19" i="52"/>
  <c r="AI18" i="52"/>
  <c r="K18" i="57"/>
  <c r="B18" i="52"/>
  <c r="AI17" i="52"/>
  <c r="K17" i="57"/>
  <c r="B17" i="52"/>
  <c r="AI16" i="52"/>
  <c r="K16" i="57"/>
  <c r="B16" i="52"/>
  <c r="AI15" i="52"/>
  <c r="K15" i="57"/>
  <c r="B15" i="52"/>
  <c r="AI14" i="52"/>
  <c r="K14" i="57"/>
  <c r="B14" i="52"/>
  <c r="AI13" i="52"/>
  <c r="K13" i="57"/>
  <c r="B13" i="52"/>
  <c r="AI12" i="52"/>
  <c r="K12" i="57"/>
  <c r="B12" i="52"/>
  <c r="AI11" i="52"/>
  <c r="K11" i="57"/>
  <c r="B11" i="52"/>
  <c r="AI10" i="52"/>
  <c r="K10" i="57"/>
  <c r="B10" i="52"/>
  <c r="AI9" i="52"/>
  <c r="K9" i="57"/>
  <c r="B9" i="52"/>
  <c r="AI8" i="52"/>
  <c r="K8" i="57"/>
  <c r="B8" i="52"/>
  <c r="AI7" i="52"/>
  <c r="K7" i="57"/>
  <c r="B7" i="52"/>
  <c r="AI6" i="52"/>
  <c r="K6" i="57"/>
  <c r="B6" i="52"/>
  <c r="AI5" i="52"/>
  <c r="K5" i="57"/>
  <c r="B5" i="52"/>
  <c r="AI4" i="52"/>
  <c r="K4" i="57"/>
  <c r="B4" i="52"/>
  <c r="C1" i="52"/>
  <c r="Q1" i="52"/>
  <c r="C39" i="51"/>
  <c r="C2" i="51"/>
  <c r="G33" i="51"/>
  <c r="B33" i="51"/>
  <c r="AH25" i="51"/>
  <c r="AG25" i="51"/>
  <c r="AF25" i="51"/>
  <c r="AE25" i="51"/>
  <c r="AD25" i="51"/>
  <c r="AC25" i="51"/>
  <c r="AB25" i="51"/>
  <c r="AA25" i="51"/>
  <c r="Z25" i="51"/>
  <c r="Y25" i="51"/>
  <c r="X25" i="51"/>
  <c r="W25" i="51"/>
  <c r="V25" i="51"/>
  <c r="U25" i="51"/>
  <c r="T25" i="51"/>
  <c r="S25" i="51"/>
  <c r="R25" i="51"/>
  <c r="Q25" i="51"/>
  <c r="P25" i="51"/>
  <c r="O25" i="51"/>
  <c r="N25" i="51"/>
  <c r="M25" i="51"/>
  <c r="L25" i="51"/>
  <c r="K25" i="51"/>
  <c r="J25" i="51"/>
  <c r="I25" i="51"/>
  <c r="H25" i="51"/>
  <c r="G25" i="51"/>
  <c r="F25" i="51"/>
  <c r="E25" i="51"/>
  <c r="D25" i="51"/>
  <c r="AI23" i="51"/>
  <c r="J23" i="57"/>
  <c r="B23" i="51"/>
  <c r="AI22" i="51"/>
  <c r="J22" i="57"/>
  <c r="B22" i="51"/>
  <c r="AI21" i="51"/>
  <c r="J21" i="57"/>
  <c r="B21" i="51"/>
  <c r="AI20" i="51"/>
  <c r="J20" i="57"/>
  <c r="B20" i="51"/>
  <c r="AI19" i="51"/>
  <c r="J19" i="57"/>
  <c r="B19" i="51"/>
  <c r="AI18" i="51"/>
  <c r="J18" i="57"/>
  <c r="B18" i="51"/>
  <c r="AI17" i="51"/>
  <c r="J17" i="57"/>
  <c r="B17" i="51"/>
  <c r="AI16" i="51"/>
  <c r="J16" i="57"/>
  <c r="B16" i="51"/>
  <c r="AI15" i="51"/>
  <c r="J15" i="57"/>
  <c r="B15" i="51"/>
  <c r="AI14" i="51"/>
  <c r="J14" i="57"/>
  <c r="B14" i="51"/>
  <c r="AI13" i="51"/>
  <c r="J13" i="57"/>
  <c r="B13" i="51"/>
  <c r="AI12" i="51"/>
  <c r="J12" i="57"/>
  <c r="B12" i="51"/>
  <c r="AI11" i="51"/>
  <c r="J11" i="57"/>
  <c r="B11" i="51"/>
  <c r="AI10" i="51"/>
  <c r="J10" i="57"/>
  <c r="B10" i="51"/>
  <c r="AI9" i="51"/>
  <c r="J9" i="57"/>
  <c r="B9" i="51"/>
  <c r="AI8" i="51"/>
  <c r="J8" i="57"/>
  <c r="B8" i="51"/>
  <c r="AI7" i="51"/>
  <c r="J7" i="57"/>
  <c r="B7" i="51"/>
  <c r="AI6" i="51"/>
  <c r="J6" i="57"/>
  <c r="B6" i="51"/>
  <c r="AI5" i="51"/>
  <c r="J5" i="57"/>
  <c r="B5" i="51"/>
  <c r="AI4" i="51"/>
  <c r="J4" i="57"/>
  <c r="B4" i="51"/>
  <c r="C1" i="51"/>
  <c r="Q1" i="51"/>
  <c r="C39" i="50"/>
  <c r="C2" i="50"/>
  <c r="G33" i="50"/>
  <c r="B33" i="50"/>
  <c r="AH26" i="50"/>
  <c r="AG25" i="50"/>
  <c r="AF25" i="50"/>
  <c r="AE25" i="50"/>
  <c r="AD25" i="50"/>
  <c r="AC25" i="50"/>
  <c r="AB25" i="50"/>
  <c r="AA25" i="50"/>
  <c r="Z25" i="50"/>
  <c r="Y25" i="50"/>
  <c r="X25" i="50"/>
  <c r="W25" i="50"/>
  <c r="V25" i="50"/>
  <c r="U25" i="50"/>
  <c r="T25" i="50"/>
  <c r="S25" i="50"/>
  <c r="R25" i="50"/>
  <c r="Q25" i="50"/>
  <c r="P25" i="50"/>
  <c r="O25" i="50"/>
  <c r="N25" i="50"/>
  <c r="M25" i="50"/>
  <c r="L25" i="50"/>
  <c r="K25" i="50"/>
  <c r="J25" i="50"/>
  <c r="I25" i="50"/>
  <c r="H25" i="50"/>
  <c r="G25" i="50"/>
  <c r="F25" i="50"/>
  <c r="E25" i="50"/>
  <c r="D25" i="50"/>
  <c r="I23" i="57"/>
  <c r="B23" i="50"/>
  <c r="I22" i="57"/>
  <c r="B22" i="50"/>
  <c r="B21" i="50"/>
  <c r="I20" i="57"/>
  <c r="B20" i="50"/>
  <c r="I19" i="57"/>
  <c r="B19" i="50"/>
  <c r="I18" i="57"/>
  <c r="B18" i="50"/>
  <c r="I17" i="57"/>
  <c r="B17" i="50"/>
  <c r="I16" i="57"/>
  <c r="B16" i="50"/>
  <c r="I15" i="57"/>
  <c r="B15" i="50"/>
  <c r="I14" i="57"/>
  <c r="B14" i="50"/>
  <c r="I13" i="57"/>
  <c r="B13" i="50"/>
  <c r="I12" i="57"/>
  <c r="B12" i="50"/>
  <c r="I11" i="57"/>
  <c r="B11" i="50"/>
  <c r="I10" i="57"/>
  <c r="B10" i="50"/>
  <c r="I9" i="57"/>
  <c r="B9" i="50"/>
  <c r="I8" i="57"/>
  <c r="B8" i="50"/>
  <c r="I7" i="57"/>
  <c r="B7" i="50"/>
  <c r="B6" i="50"/>
  <c r="I5" i="57"/>
  <c r="B5" i="50"/>
  <c r="I4" i="57"/>
  <c r="B4" i="50"/>
  <c r="C1" i="50"/>
  <c r="Q1" i="50"/>
  <c r="C39" i="49"/>
  <c r="C2" i="49"/>
  <c r="G33" i="49"/>
  <c r="B33" i="49"/>
  <c r="AH25" i="49"/>
  <c r="AG25" i="49"/>
  <c r="AF25" i="49"/>
  <c r="AE25" i="49"/>
  <c r="AD25" i="49"/>
  <c r="AC25" i="49"/>
  <c r="AB25" i="49"/>
  <c r="AA25" i="49"/>
  <c r="Z25" i="49"/>
  <c r="Y25" i="49"/>
  <c r="X25" i="49"/>
  <c r="W25" i="49"/>
  <c r="V25" i="49"/>
  <c r="U25" i="49"/>
  <c r="T25" i="49"/>
  <c r="S25" i="49"/>
  <c r="R25" i="49"/>
  <c r="Q25" i="49"/>
  <c r="P25" i="49"/>
  <c r="O25" i="49"/>
  <c r="N25" i="49"/>
  <c r="M25" i="49"/>
  <c r="L25" i="49"/>
  <c r="K25" i="49"/>
  <c r="J25" i="49"/>
  <c r="I25" i="49"/>
  <c r="H25" i="49"/>
  <c r="G25" i="49"/>
  <c r="F25" i="49"/>
  <c r="E25" i="49"/>
  <c r="D26" i="49"/>
  <c r="AI26" i="49"/>
  <c r="AI23" i="49"/>
  <c r="H23" i="57"/>
  <c r="B23" i="49"/>
  <c r="AI22" i="49"/>
  <c r="H22" i="57"/>
  <c r="B22" i="49"/>
  <c r="AI21" i="49"/>
  <c r="H21" i="57"/>
  <c r="B21" i="49"/>
  <c r="AI20" i="49"/>
  <c r="H20" i="57"/>
  <c r="B20" i="49"/>
  <c r="AI19" i="49"/>
  <c r="H19" i="57"/>
  <c r="B19" i="49"/>
  <c r="AI18" i="49"/>
  <c r="H18" i="57"/>
  <c r="B18" i="49"/>
  <c r="AI17" i="49"/>
  <c r="H17" i="57"/>
  <c r="B17" i="49"/>
  <c r="AI16" i="49"/>
  <c r="H16" i="57"/>
  <c r="B16" i="49"/>
  <c r="AI15" i="49"/>
  <c r="H15" i="57"/>
  <c r="B15" i="49"/>
  <c r="AI14" i="49"/>
  <c r="H14" i="57"/>
  <c r="B14" i="49"/>
  <c r="AI13" i="49"/>
  <c r="H13" i="57"/>
  <c r="B13" i="49"/>
  <c r="AI12" i="49"/>
  <c r="H12" i="57"/>
  <c r="B12" i="49"/>
  <c r="AI11" i="49"/>
  <c r="H11" i="57"/>
  <c r="B11" i="49"/>
  <c r="AI10" i="49"/>
  <c r="H10" i="57"/>
  <c r="B10" i="49"/>
  <c r="AI9" i="49"/>
  <c r="H9" i="57"/>
  <c r="B9" i="49"/>
  <c r="AI8" i="49"/>
  <c r="H8" i="57"/>
  <c r="B8" i="49"/>
  <c r="AI7" i="49"/>
  <c r="H7" i="57"/>
  <c r="B7" i="49"/>
  <c r="AI6" i="49"/>
  <c r="H6" i="57"/>
  <c r="B6" i="49"/>
  <c r="AI5" i="49"/>
  <c r="H5" i="57"/>
  <c r="B5" i="49"/>
  <c r="AI4" i="49"/>
  <c r="H4" i="57"/>
  <c r="B4" i="49"/>
  <c r="C1" i="49"/>
  <c r="Q1" i="49"/>
  <c r="C39" i="48"/>
  <c r="C2" i="48"/>
  <c r="G33" i="48"/>
  <c r="B33" i="48"/>
  <c r="AG25" i="48"/>
  <c r="AF25" i="48"/>
  <c r="AE25" i="48"/>
  <c r="AD25" i="48"/>
  <c r="AC25" i="48"/>
  <c r="AB25" i="48"/>
  <c r="AA25" i="48"/>
  <c r="Z25" i="48"/>
  <c r="Y25" i="48"/>
  <c r="X25" i="48"/>
  <c r="W25" i="48"/>
  <c r="V25" i="48"/>
  <c r="U25" i="48"/>
  <c r="T25" i="48"/>
  <c r="S25" i="48"/>
  <c r="R25" i="48"/>
  <c r="Q25" i="48"/>
  <c r="P25" i="48"/>
  <c r="O25" i="48"/>
  <c r="N25" i="48"/>
  <c r="M25" i="48"/>
  <c r="L25" i="48"/>
  <c r="K25" i="48"/>
  <c r="J25" i="48"/>
  <c r="I25" i="48"/>
  <c r="H25" i="48"/>
  <c r="G25" i="48"/>
  <c r="D25" i="48"/>
  <c r="E25" i="48"/>
  <c r="F25" i="48"/>
  <c r="G23" i="57"/>
  <c r="B23" i="48"/>
  <c r="G22" i="57"/>
  <c r="B22" i="48"/>
  <c r="G21" i="57"/>
  <c r="B21" i="48"/>
  <c r="B20" i="48"/>
  <c r="G19" i="57"/>
  <c r="B19" i="48"/>
  <c r="G18" i="57"/>
  <c r="B18" i="48"/>
  <c r="G17" i="57"/>
  <c r="B17" i="48"/>
  <c r="G16" i="57"/>
  <c r="B16" i="48"/>
  <c r="G15" i="57"/>
  <c r="B15" i="48"/>
  <c r="B14" i="48"/>
  <c r="G13" i="57"/>
  <c r="B13" i="48"/>
  <c r="G12" i="57"/>
  <c r="B12" i="48"/>
  <c r="B11" i="48"/>
  <c r="G10" i="57"/>
  <c r="B10" i="48"/>
  <c r="G9" i="57"/>
  <c r="B9" i="48"/>
  <c r="G8" i="57"/>
  <c r="B8" i="48"/>
  <c r="G7" i="57"/>
  <c r="B7" i="48"/>
  <c r="G6" i="57"/>
  <c r="B6" i="48"/>
  <c r="B5" i="48"/>
  <c r="G4" i="57"/>
  <c r="B4" i="48"/>
  <c r="C1" i="48"/>
  <c r="Q1" i="48"/>
  <c r="C39" i="47"/>
  <c r="C2" i="47"/>
  <c r="G33" i="47"/>
  <c r="B33" i="47"/>
  <c r="AH25" i="47"/>
  <c r="AG25" i="47"/>
  <c r="AF25" i="47"/>
  <c r="AE25" i="47"/>
  <c r="AD25" i="47"/>
  <c r="AC25" i="47"/>
  <c r="AB25" i="47"/>
  <c r="AA25" i="47"/>
  <c r="Z25" i="47"/>
  <c r="Y25" i="47"/>
  <c r="X25" i="47"/>
  <c r="W25" i="47"/>
  <c r="V25" i="47"/>
  <c r="U25" i="47"/>
  <c r="T25" i="47"/>
  <c r="S25" i="47"/>
  <c r="R25" i="47"/>
  <c r="Q25" i="47"/>
  <c r="P25" i="47"/>
  <c r="O25" i="47"/>
  <c r="N25" i="47"/>
  <c r="M25" i="47"/>
  <c r="L25" i="47"/>
  <c r="K25" i="47"/>
  <c r="J25" i="47"/>
  <c r="I25" i="47"/>
  <c r="H25" i="47"/>
  <c r="G25" i="47"/>
  <c r="F25" i="47"/>
  <c r="E25" i="47"/>
  <c r="AI23" i="47"/>
  <c r="F23" i="57"/>
  <c r="B23" i="47"/>
  <c r="AI22" i="47"/>
  <c r="F22" i="57"/>
  <c r="B22" i="47"/>
  <c r="AI21" i="47"/>
  <c r="F21" i="57"/>
  <c r="B21" i="47"/>
  <c r="AI20" i="47"/>
  <c r="F20" i="57"/>
  <c r="B20" i="47"/>
  <c r="AI19" i="47"/>
  <c r="F19" i="57"/>
  <c r="B19" i="47"/>
  <c r="AI18" i="47"/>
  <c r="F18" i="57"/>
  <c r="B18" i="47"/>
  <c r="AI17" i="47"/>
  <c r="F17" i="57"/>
  <c r="B17" i="47"/>
  <c r="AI16" i="47"/>
  <c r="F16" i="57"/>
  <c r="B16" i="47"/>
  <c r="AI15" i="47"/>
  <c r="F15" i="57"/>
  <c r="B15" i="47"/>
  <c r="AI14" i="47"/>
  <c r="F14" i="57"/>
  <c r="B14" i="47"/>
  <c r="AI13" i="47"/>
  <c r="F13" i="57"/>
  <c r="B13" i="47"/>
  <c r="AI12" i="47"/>
  <c r="F12" i="57"/>
  <c r="B12" i="47"/>
  <c r="AI11" i="47"/>
  <c r="F11" i="57"/>
  <c r="B11" i="47"/>
  <c r="AI10" i="47"/>
  <c r="F10" i="57"/>
  <c r="B10" i="47"/>
  <c r="AI9" i="47"/>
  <c r="F9" i="57"/>
  <c r="B9" i="47"/>
  <c r="AI8" i="47"/>
  <c r="F8" i="57"/>
  <c r="B8" i="47"/>
  <c r="AI7" i="47"/>
  <c r="F7" i="57"/>
  <c r="B7" i="47"/>
  <c r="AI6" i="47"/>
  <c r="F6" i="57"/>
  <c r="B6" i="47"/>
  <c r="AI5" i="47"/>
  <c r="F5" i="57"/>
  <c r="B5" i="47"/>
  <c r="B4" i="47"/>
  <c r="C1" i="47"/>
  <c r="Q1" i="47"/>
  <c r="C2" i="46"/>
  <c r="G33" i="46"/>
  <c r="B33" i="46"/>
  <c r="AH25" i="46"/>
  <c r="AG25" i="46"/>
  <c r="AF25" i="46"/>
  <c r="AE25" i="46"/>
  <c r="AD25" i="46"/>
  <c r="AC25" i="46"/>
  <c r="AB25" i="46"/>
  <c r="AA25" i="46"/>
  <c r="Z25" i="46"/>
  <c r="Y25" i="46"/>
  <c r="X25" i="46"/>
  <c r="W25" i="46"/>
  <c r="V25" i="46"/>
  <c r="U25" i="46"/>
  <c r="T25" i="46"/>
  <c r="S25" i="46"/>
  <c r="R25" i="46"/>
  <c r="Q25" i="46"/>
  <c r="P25" i="46"/>
  <c r="O25" i="46"/>
  <c r="N25" i="46"/>
  <c r="M25" i="46"/>
  <c r="L25" i="46"/>
  <c r="K25" i="46"/>
  <c r="J25" i="46"/>
  <c r="I25" i="46"/>
  <c r="H25" i="46"/>
  <c r="G25" i="46"/>
  <c r="F25" i="46"/>
  <c r="E25" i="46"/>
  <c r="D25" i="46"/>
  <c r="AF28" i="46"/>
  <c r="AE28" i="46"/>
  <c r="E23" i="57"/>
  <c r="B23" i="46"/>
  <c r="B22" i="46"/>
  <c r="B21" i="46"/>
  <c r="E20" i="57"/>
  <c r="B20" i="46"/>
  <c r="E19" i="57"/>
  <c r="B19" i="46"/>
  <c r="E18" i="57"/>
  <c r="B18" i="46"/>
  <c r="E17" i="57"/>
  <c r="B17" i="46"/>
  <c r="E16" i="57"/>
  <c r="B16" i="46"/>
  <c r="E15" i="57"/>
  <c r="B15" i="46"/>
  <c r="E14" i="57"/>
  <c r="B14" i="46"/>
  <c r="E13" i="57"/>
  <c r="B13" i="46"/>
  <c r="E12" i="57"/>
  <c r="B12" i="46"/>
  <c r="E11" i="57"/>
  <c r="B11" i="46"/>
  <c r="E10" i="57"/>
  <c r="B10" i="46"/>
  <c r="E9" i="57"/>
  <c r="B9" i="46"/>
  <c r="E8" i="57"/>
  <c r="B8" i="46"/>
  <c r="B7" i="46"/>
  <c r="E6" i="57"/>
  <c r="B6" i="46"/>
  <c r="B5" i="46"/>
  <c r="B4" i="46"/>
  <c r="C1" i="46"/>
  <c r="Q1" i="46"/>
  <c r="G11" i="57"/>
  <c r="G14" i="57"/>
  <c r="G20" i="57"/>
  <c r="L21" i="57"/>
  <c r="I21" i="57"/>
  <c r="G23" i="39"/>
  <c r="H23" i="39"/>
  <c r="I23" i="39"/>
  <c r="G24" i="39"/>
  <c r="I24" i="39"/>
  <c r="G25" i="39"/>
  <c r="G26" i="39"/>
  <c r="I31" i="39"/>
  <c r="G32" i="39"/>
  <c r="I32" i="39"/>
  <c r="I17" i="39"/>
  <c r="G33" i="42"/>
  <c r="B33" i="42"/>
  <c r="Q1" i="42"/>
  <c r="C1" i="42"/>
  <c r="H25" i="42"/>
  <c r="I25" i="42"/>
  <c r="J25" i="42"/>
  <c r="K25" i="42"/>
  <c r="L25" i="42"/>
  <c r="M25" i="42"/>
  <c r="N25" i="42"/>
  <c r="O25" i="42"/>
  <c r="P25" i="42"/>
  <c r="Q25" i="42"/>
  <c r="R25" i="42"/>
  <c r="S25" i="42"/>
  <c r="T25" i="42"/>
  <c r="U25" i="42"/>
  <c r="V25" i="42"/>
  <c r="W25" i="42"/>
  <c r="X25" i="42"/>
  <c r="Y25" i="42"/>
  <c r="Z25" i="42"/>
  <c r="AA25" i="42"/>
  <c r="AB25" i="42"/>
  <c r="AC25" i="42"/>
  <c r="AD25" i="42"/>
  <c r="AE25" i="42"/>
  <c r="AF25" i="42"/>
  <c r="AG25" i="42"/>
  <c r="AH25" i="42"/>
  <c r="I26" i="39"/>
  <c r="AI21" i="42"/>
  <c r="D21" i="57"/>
  <c r="AI22" i="42"/>
  <c r="D22" i="57"/>
  <c r="AI20" i="42"/>
  <c r="D20" i="57"/>
  <c r="AI23" i="42"/>
  <c r="D23" i="57"/>
  <c r="AI19" i="42"/>
  <c r="D19" i="57"/>
  <c r="AI18" i="42"/>
  <c r="D18" i="57"/>
  <c r="AI17" i="42"/>
  <c r="D17" i="57"/>
  <c r="AI16" i="42"/>
  <c r="D16" i="57"/>
  <c r="AI15" i="42"/>
  <c r="D15" i="57"/>
  <c r="AI14" i="42"/>
  <c r="D14" i="57"/>
  <c r="AI13" i="42"/>
  <c r="D13" i="57"/>
  <c r="AI12" i="42"/>
  <c r="D12" i="57"/>
  <c r="AI11" i="42"/>
  <c r="D11" i="57"/>
  <c r="AI10" i="42"/>
  <c r="D10" i="57"/>
  <c r="AI9" i="42"/>
  <c r="D9" i="57"/>
  <c r="AI8" i="42"/>
  <c r="D8" i="57"/>
  <c r="AI7" i="42"/>
  <c r="D7" i="57"/>
  <c r="C39" i="42"/>
  <c r="C2" i="42"/>
  <c r="I12" i="39"/>
  <c r="H12" i="39"/>
  <c r="F12" i="39"/>
  <c r="E12" i="39"/>
  <c r="I8" i="39"/>
  <c r="I7" i="39"/>
  <c r="I6" i="39"/>
  <c r="I19" i="39"/>
  <c r="I18" i="39"/>
  <c r="I16" i="39"/>
  <c r="I15" i="39"/>
  <c r="I14" i="39"/>
  <c r="I13" i="39"/>
  <c r="H13" i="39"/>
  <c r="F13" i="39"/>
  <c r="E13" i="39"/>
  <c r="I25" i="39"/>
  <c r="D3" i="46"/>
  <c r="E3" i="46"/>
  <c r="F3" i="46"/>
  <c r="G3" i="46"/>
  <c r="H3" i="46"/>
  <c r="I3" i="46"/>
  <c r="J3" i="46"/>
  <c r="K3" i="46"/>
  <c r="L3" i="46"/>
  <c r="M3" i="46"/>
  <c r="N3" i="46"/>
  <c r="O3" i="46"/>
  <c r="P3" i="46"/>
  <c r="Q3" i="46"/>
  <c r="R3" i="46"/>
  <c r="S3" i="46"/>
  <c r="T3" i="46"/>
  <c r="U3" i="46"/>
  <c r="V3" i="46"/>
  <c r="W3" i="46"/>
  <c r="X3" i="46"/>
  <c r="Y3" i="46"/>
  <c r="Z3" i="46"/>
  <c r="AA3" i="46"/>
  <c r="AB3" i="46"/>
  <c r="AC3" i="46"/>
  <c r="AD3" i="46"/>
  <c r="AE3" i="46"/>
  <c r="AF3" i="46"/>
  <c r="AG3" i="46"/>
  <c r="AH3" i="46"/>
  <c r="AI24" i="49"/>
  <c r="H24" i="57"/>
  <c r="O24" i="57"/>
  <c r="AI24" i="52"/>
  <c r="K24" i="57"/>
  <c r="AI28" i="52"/>
  <c r="AI24" i="51"/>
  <c r="J24" i="57"/>
  <c r="AI26" i="56"/>
  <c r="AJ9" i="56"/>
  <c r="AJ8" i="55"/>
  <c r="AI24" i="54"/>
  <c r="M24" i="57"/>
  <c r="AI26" i="54"/>
  <c r="AJ6" i="53"/>
  <c r="AI26" i="52"/>
  <c r="AI28" i="51"/>
  <c r="AI26" i="51"/>
  <c r="AJ7" i="50"/>
  <c r="AI28" i="49"/>
  <c r="AI24" i="47"/>
  <c r="F24" i="57"/>
  <c r="AI26" i="47"/>
  <c r="D25" i="47"/>
  <c r="AI28" i="47"/>
  <c r="AI24" i="42"/>
  <c r="D24" i="57"/>
  <c r="AJ10" i="48"/>
  <c r="I6" i="57"/>
  <c r="AJ22" i="55"/>
  <c r="AJ5" i="55"/>
  <c r="AJ6" i="55"/>
  <c r="AJ19" i="55"/>
  <c r="AJ17" i="55"/>
  <c r="F23" i="39"/>
  <c r="E23" i="39"/>
  <c r="AJ20" i="54"/>
  <c r="D25" i="49"/>
  <c r="AF28" i="44"/>
  <c r="D30" i="44"/>
  <c r="Q30" i="51"/>
  <c r="D3" i="47"/>
  <c r="E3" i="47"/>
  <c r="F3" i="47"/>
  <c r="G3" i="47"/>
  <c r="H3" i="47"/>
  <c r="I3" i="47"/>
  <c r="J3" i="47"/>
  <c r="K3" i="47"/>
  <c r="L3" i="47"/>
  <c r="M3" i="47"/>
  <c r="N3" i="47"/>
  <c r="O3" i="47"/>
  <c r="P3" i="47"/>
  <c r="Q3" i="47"/>
  <c r="R3" i="47"/>
  <c r="S3" i="47"/>
  <c r="T3" i="47"/>
  <c r="U3" i="47"/>
  <c r="V3" i="47"/>
  <c r="W3" i="47"/>
  <c r="X3" i="47"/>
  <c r="Y3" i="47"/>
  <c r="Z3" i="47"/>
  <c r="AA3" i="47"/>
  <c r="AB3" i="47"/>
  <c r="AC3" i="47"/>
  <c r="AD3" i="47"/>
  <c r="AE3" i="47"/>
  <c r="AF3" i="47"/>
  <c r="AG3" i="47"/>
  <c r="AH3" i="47"/>
  <c r="N7" i="39"/>
  <c r="AJ20" i="49"/>
  <c r="G28" i="57"/>
  <c r="Q33" i="52"/>
  <c r="Q33" i="46"/>
  <c r="Q33" i="56"/>
  <c r="Q33" i="55"/>
  <c r="Q33" i="51"/>
  <c r="AJ5" i="56"/>
  <c r="AJ17" i="56"/>
  <c r="Q33" i="47"/>
  <c r="Q33" i="48"/>
  <c r="Q33" i="54"/>
  <c r="Q33" i="49"/>
  <c r="Q33" i="50"/>
  <c r="Q33" i="53"/>
  <c r="O28" i="57"/>
  <c r="AJ18" i="56"/>
  <c r="AJ20" i="56"/>
  <c r="N28" i="57"/>
  <c r="M28" i="57"/>
  <c r="L28" i="57"/>
  <c r="K28" i="57"/>
  <c r="AJ19" i="51"/>
  <c r="J28" i="57"/>
  <c r="I28" i="57"/>
  <c r="H28" i="57"/>
  <c r="F28" i="57"/>
  <c r="E28" i="57"/>
  <c r="D28" i="57"/>
  <c r="D26" i="57"/>
  <c r="AJ22" i="56"/>
  <c r="AJ12" i="56"/>
  <c r="AJ23" i="56"/>
  <c r="AJ4" i="56"/>
  <c r="AJ16" i="56"/>
  <c r="AJ14" i="56"/>
  <c r="AJ10" i="56"/>
  <c r="AJ6" i="56"/>
  <c r="AJ11" i="56"/>
  <c r="AJ21" i="56"/>
  <c r="AJ19" i="56"/>
  <c r="O26" i="57"/>
  <c r="AJ24" i="56"/>
  <c r="N26" i="57"/>
  <c r="AJ15" i="54"/>
  <c r="AJ14" i="54"/>
  <c r="M26" i="57"/>
  <c r="AJ22" i="54"/>
  <c r="AJ7" i="54"/>
  <c r="AJ13" i="54"/>
  <c r="AJ24" i="54"/>
  <c r="L26" i="57"/>
  <c r="AJ6" i="52"/>
  <c r="K26" i="57"/>
  <c r="AJ24" i="52"/>
  <c r="AJ12" i="51"/>
  <c r="J26" i="57"/>
  <c r="AJ18" i="51"/>
  <c r="AJ14" i="51"/>
  <c r="AJ15" i="51"/>
  <c r="AJ22" i="51"/>
  <c r="AJ11" i="51"/>
  <c r="AJ24" i="51"/>
  <c r="AJ9" i="51"/>
  <c r="AJ23" i="51"/>
  <c r="AJ8" i="51"/>
  <c r="I26" i="57"/>
  <c r="AJ24" i="50"/>
  <c r="AJ15" i="49"/>
  <c r="P9" i="57"/>
  <c r="AJ13" i="49"/>
  <c r="H26" i="57"/>
  <c r="AJ24" i="49"/>
  <c r="AJ23" i="49"/>
  <c r="AJ6" i="49"/>
  <c r="AJ21" i="49"/>
  <c r="AJ24" i="48"/>
  <c r="F26" i="57"/>
  <c r="AJ6" i="47"/>
  <c r="P7" i="57"/>
  <c r="AJ24" i="47"/>
  <c r="AD28" i="44"/>
  <c r="AE28" i="44"/>
  <c r="AC28" i="44"/>
  <c r="AA28" i="44"/>
  <c r="P23" i="57"/>
  <c r="P13" i="57"/>
  <c r="P5" i="57"/>
  <c r="P17" i="57"/>
  <c r="G26" i="57"/>
  <c r="P21" i="57"/>
  <c r="P22" i="57"/>
  <c r="P19" i="57"/>
  <c r="AJ7" i="56"/>
  <c r="AJ15" i="56"/>
  <c r="AJ13" i="56"/>
  <c r="AJ8" i="56"/>
  <c r="AJ10" i="55"/>
  <c r="AJ11" i="55"/>
  <c r="AJ12" i="55"/>
  <c r="AJ7" i="55"/>
  <c r="AJ9" i="55"/>
  <c r="AJ16" i="55"/>
  <c r="AJ4" i="55"/>
  <c r="AJ23" i="55"/>
  <c r="AJ20" i="55"/>
  <c r="AJ18" i="55"/>
  <c r="AJ15" i="55"/>
  <c r="AJ14" i="55"/>
  <c r="AJ13" i="55"/>
  <c r="AJ21" i="55"/>
  <c r="AJ12" i="54"/>
  <c r="AJ9" i="54"/>
  <c r="AJ21" i="54"/>
  <c r="AJ16" i="54"/>
  <c r="AJ4" i="54"/>
  <c r="AJ8" i="54"/>
  <c r="AJ19" i="54"/>
  <c r="AJ23" i="54"/>
  <c r="AJ11" i="54"/>
  <c r="AJ17" i="54"/>
  <c r="AJ18" i="54"/>
  <c r="AJ6" i="54"/>
  <c r="AJ10" i="54"/>
  <c r="AJ5" i="54"/>
  <c r="AJ18" i="53"/>
  <c r="AJ10" i="53"/>
  <c r="AJ17" i="53"/>
  <c r="AJ9" i="53"/>
  <c r="AJ22" i="53"/>
  <c r="AJ12" i="53"/>
  <c r="AJ8" i="53"/>
  <c r="AJ11" i="53"/>
  <c r="AJ13" i="53"/>
  <c r="AJ7" i="53"/>
  <c r="AJ16" i="53"/>
  <c r="AJ5" i="53"/>
  <c r="AJ19" i="53"/>
  <c r="AJ4" i="53"/>
  <c r="AJ21" i="53"/>
  <c r="AJ15" i="53"/>
  <c r="AJ14" i="53"/>
  <c r="AJ20" i="53"/>
  <c r="AJ23" i="53"/>
  <c r="AJ15" i="52"/>
  <c r="AJ9" i="52"/>
  <c r="AJ18" i="52"/>
  <c r="AJ4" i="52"/>
  <c r="AJ10" i="52"/>
  <c r="AJ19" i="52"/>
  <c r="AJ21" i="52"/>
  <c r="AJ8" i="52"/>
  <c r="AJ7" i="52"/>
  <c r="AJ17" i="52"/>
  <c r="AJ20" i="52"/>
  <c r="AJ11" i="52"/>
  <c r="AJ23" i="52"/>
  <c r="AJ5" i="52"/>
  <c r="AJ16" i="52"/>
  <c r="AJ13" i="52"/>
  <c r="AJ22" i="52"/>
  <c r="AJ14" i="52"/>
  <c r="AJ12" i="52"/>
  <c r="AJ20" i="51"/>
  <c r="AJ16" i="51"/>
  <c r="AJ10" i="51"/>
  <c r="AJ4" i="51"/>
  <c r="AJ13" i="51"/>
  <c r="AJ5" i="51"/>
  <c r="AJ21" i="51"/>
  <c r="AJ7" i="51"/>
  <c r="AJ6" i="51"/>
  <c r="AJ17" i="51"/>
  <c r="AJ4" i="50"/>
  <c r="AJ11" i="50"/>
  <c r="AJ15" i="50"/>
  <c r="AJ20" i="50"/>
  <c r="AJ21" i="50"/>
  <c r="AJ8" i="50"/>
  <c r="AJ12" i="50"/>
  <c r="AJ23" i="50"/>
  <c r="AJ5" i="50"/>
  <c r="AJ18" i="50"/>
  <c r="AJ13" i="50"/>
  <c r="AJ6" i="50"/>
  <c r="AJ9" i="50"/>
  <c r="AJ10" i="50"/>
  <c r="AJ22" i="50"/>
  <c r="AJ14" i="50"/>
  <c r="AJ19" i="50"/>
  <c r="AJ16" i="50"/>
  <c r="AJ17" i="50"/>
  <c r="AJ16" i="49"/>
  <c r="AJ10" i="49"/>
  <c r="AJ7" i="49"/>
  <c r="AJ11" i="49"/>
  <c r="AJ14" i="49"/>
  <c r="AJ22" i="49"/>
  <c r="AJ5" i="49"/>
  <c r="AJ12" i="49"/>
  <c r="AJ9" i="49"/>
  <c r="AJ19" i="49"/>
  <c r="AJ17" i="49"/>
  <c r="AJ4" i="49"/>
  <c r="AJ18" i="49"/>
  <c r="AJ8" i="49"/>
  <c r="AJ12" i="48"/>
  <c r="AJ6" i="48"/>
  <c r="AJ17" i="48"/>
  <c r="AJ7" i="48"/>
  <c r="AJ9" i="48"/>
  <c r="AJ8" i="48"/>
  <c r="AJ21" i="48"/>
  <c r="AJ22" i="48"/>
  <c r="AJ19" i="48"/>
  <c r="AJ13" i="48"/>
  <c r="AJ14" i="48"/>
  <c r="AJ5" i="48"/>
  <c r="AJ18" i="48"/>
  <c r="AJ4" i="48"/>
  <c r="AJ11" i="48"/>
  <c r="AJ20" i="48"/>
  <c r="AJ15" i="48"/>
  <c r="AJ16" i="48"/>
  <c r="AJ23" i="48"/>
  <c r="AJ17" i="47"/>
  <c r="AJ16" i="47"/>
  <c r="AJ11" i="47"/>
  <c r="AJ23" i="47"/>
  <c r="AJ7" i="47"/>
  <c r="AJ4" i="47"/>
  <c r="AJ12" i="47"/>
  <c r="AJ18" i="47"/>
  <c r="AJ10" i="47"/>
  <c r="AJ21" i="47"/>
  <c r="AJ5" i="47"/>
  <c r="AJ15" i="47"/>
  <c r="AJ19" i="47"/>
  <c r="AJ9" i="47"/>
  <c r="AJ13" i="47"/>
  <c r="AJ20" i="47"/>
  <c r="AJ22" i="47"/>
  <c r="AJ14" i="47"/>
  <c r="AJ8" i="47"/>
  <c r="P6" i="57"/>
  <c r="P16" i="57"/>
  <c r="P12" i="57"/>
  <c r="P15" i="57"/>
  <c r="P18" i="57"/>
  <c r="P20" i="57"/>
  <c r="P8" i="57"/>
  <c r="P11" i="57"/>
  <c r="P14" i="57"/>
  <c r="AI28" i="42"/>
  <c r="AJ24" i="42"/>
  <c r="AI28" i="46"/>
  <c r="P4" i="57"/>
  <c r="E26" i="57"/>
  <c r="P10" i="57"/>
  <c r="AI26" i="46"/>
  <c r="AI26" i="42"/>
  <c r="D29" i="44"/>
  <c r="Q37" i="46"/>
  <c r="Q30" i="48"/>
  <c r="Q30" i="54"/>
  <c r="Q30" i="42"/>
  <c r="Q30" i="50"/>
  <c r="Q30" i="47"/>
  <c r="Q30" i="53"/>
  <c r="Q30" i="56"/>
  <c r="Q30" i="46"/>
  <c r="Q30" i="52"/>
  <c r="Q30" i="55"/>
  <c r="Q30" i="49"/>
  <c r="N8" i="39"/>
  <c r="H5" i="39"/>
  <c r="F5" i="39"/>
  <c r="E5" i="39"/>
  <c r="H24" i="39"/>
  <c r="F24" i="39"/>
  <c r="E24" i="39"/>
  <c r="D3" i="48"/>
  <c r="E3" i="48"/>
  <c r="F3" i="48"/>
  <c r="G3" i="48"/>
  <c r="H3" i="48"/>
  <c r="I3" i="48"/>
  <c r="J3" i="48"/>
  <c r="K3" i="48"/>
  <c r="L3" i="48"/>
  <c r="M3" i="48"/>
  <c r="N3" i="48"/>
  <c r="O3" i="48"/>
  <c r="P3" i="48"/>
  <c r="Q3" i="48"/>
  <c r="R3" i="48"/>
  <c r="S3" i="48"/>
  <c r="T3" i="48"/>
  <c r="U3" i="48"/>
  <c r="V3" i="48"/>
  <c r="W3" i="48"/>
  <c r="X3" i="48"/>
  <c r="Y3" i="48"/>
  <c r="Z3" i="48"/>
  <c r="AA3" i="48"/>
  <c r="AB3" i="48"/>
  <c r="AC3" i="48"/>
  <c r="AD3" i="48"/>
  <c r="AE3" i="48"/>
  <c r="AF3" i="48"/>
  <c r="AG3" i="48"/>
  <c r="AH3" i="48"/>
  <c r="H25" i="39"/>
  <c r="F25" i="39"/>
  <c r="E25" i="39"/>
  <c r="H6" i="39"/>
  <c r="F6" i="39"/>
  <c r="E6" i="39"/>
  <c r="AJ24" i="46"/>
  <c r="P26" i="57"/>
  <c r="Q8" i="57"/>
  <c r="AJ16" i="46"/>
  <c r="AJ22" i="46"/>
  <c r="AJ14" i="46"/>
  <c r="AJ12" i="46"/>
  <c r="AJ11" i="46"/>
  <c r="AJ17" i="46"/>
  <c r="AJ13" i="46"/>
  <c r="AJ4" i="46"/>
  <c r="AJ15" i="46"/>
  <c r="AJ10" i="46"/>
  <c r="AJ23" i="46"/>
  <c r="AJ9" i="46"/>
  <c r="AJ20" i="46"/>
  <c r="AJ18" i="46"/>
  <c r="AJ5" i="46"/>
  <c r="AJ8" i="46"/>
  <c r="AJ6" i="46"/>
  <c r="AJ19" i="46"/>
  <c r="AJ7" i="46"/>
  <c r="AJ21" i="46"/>
  <c r="P28" i="57"/>
  <c r="D30" i="57"/>
  <c r="AJ10" i="42"/>
  <c r="AJ20" i="42"/>
  <c r="AJ17" i="42"/>
  <c r="AJ12" i="42"/>
  <c r="AJ11" i="42"/>
  <c r="AJ6" i="42"/>
  <c r="AJ18" i="42"/>
  <c r="AJ7" i="42"/>
  <c r="AJ22" i="42"/>
  <c r="AJ13" i="42"/>
  <c r="AJ16" i="42"/>
  <c r="AJ9" i="42"/>
  <c r="AJ21" i="42"/>
  <c r="AJ23" i="42"/>
  <c r="AJ15" i="42"/>
  <c r="AJ19" i="42"/>
  <c r="AJ14" i="42"/>
  <c r="AJ8" i="42"/>
  <c r="AJ5" i="42"/>
  <c r="AJ4" i="42"/>
  <c r="Q37" i="51"/>
  <c r="Q37" i="47"/>
  <c r="Q37" i="55"/>
  <c r="E2" i="44"/>
  <c r="Q37" i="48"/>
  <c r="Q37" i="49"/>
  <c r="Q37" i="56"/>
  <c r="Q37" i="52"/>
  <c r="Q37" i="54"/>
  <c r="Q37" i="42"/>
  <c r="Q37" i="50"/>
  <c r="Q37" i="53"/>
  <c r="H31" i="39"/>
  <c r="F31" i="39"/>
  <c r="N9" i="39"/>
  <c r="H7" i="39"/>
  <c r="F7" i="39"/>
  <c r="E7" i="39"/>
  <c r="D3" i="49"/>
  <c r="H14" i="39"/>
  <c r="F14" i="39"/>
  <c r="E14" i="39"/>
  <c r="Q7" i="57"/>
  <c r="P24" i="57"/>
  <c r="Q15" i="57"/>
  <c r="Q17" i="57"/>
  <c r="Q23" i="57"/>
  <c r="Q22" i="57"/>
  <c r="Q21" i="57"/>
  <c r="Q9" i="57"/>
  <c r="Q5" i="57"/>
  <c r="Q18" i="57"/>
  <c r="Q19" i="57"/>
  <c r="Q12" i="57"/>
  <c r="Q13" i="57"/>
  <c r="Q4" i="57"/>
  <c r="Q11" i="57"/>
  <c r="Q6" i="57"/>
  <c r="Q10" i="57"/>
  <c r="Q16" i="57"/>
  <c r="Q14" i="57"/>
  <c r="Q20" i="57"/>
  <c r="J30" i="57"/>
  <c r="F30" i="57"/>
  <c r="G30" i="57"/>
  <c r="M30" i="57"/>
  <c r="E30" i="57"/>
  <c r="I30" i="57"/>
  <c r="O30" i="57"/>
  <c r="L30" i="57"/>
  <c r="N30" i="57"/>
  <c r="K30" i="57"/>
  <c r="H30" i="57"/>
  <c r="E3" i="49"/>
  <c r="H8" i="39"/>
  <c r="F8" i="39"/>
  <c r="E8" i="39"/>
  <c r="D3" i="50"/>
  <c r="H15" i="39"/>
  <c r="F15" i="39"/>
  <c r="E15" i="39"/>
  <c r="H32" i="39"/>
  <c r="F32" i="39"/>
  <c r="N10" i="39"/>
  <c r="E31" i="39"/>
  <c r="Q24" i="57"/>
  <c r="E32" i="39"/>
  <c r="N11" i="39"/>
  <c r="D3" i="51"/>
  <c r="E3" i="50"/>
  <c r="F3" i="49"/>
  <c r="G3" i="49"/>
  <c r="E3" i="51"/>
  <c r="F3" i="50"/>
  <c r="D3" i="52"/>
  <c r="N12" i="39"/>
  <c r="G3" i="50"/>
  <c r="F3" i="51"/>
  <c r="N13" i="39"/>
  <c r="D3" i="53"/>
  <c r="E3" i="52"/>
  <c r="H3" i="49"/>
  <c r="E3" i="53"/>
  <c r="F3" i="52"/>
  <c r="N14" i="39"/>
  <c r="H26" i="39"/>
  <c r="F26" i="39"/>
  <c r="D3" i="54"/>
  <c r="G3" i="51"/>
  <c r="I3" i="49"/>
  <c r="H3" i="50"/>
  <c r="E26" i="39"/>
  <c r="E3" i="54"/>
  <c r="N15" i="39"/>
  <c r="H27" i="39"/>
  <c r="F27" i="39"/>
  <c r="E27" i="39"/>
  <c r="D3" i="55"/>
  <c r="H3" i="51"/>
  <c r="G3" i="52"/>
  <c r="F3" i="53"/>
  <c r="I3" i="50"/>
  <c r="J3" i="49"/>
  <c r="H3" i="52"/>
  <c r="H16" i="39"/>
  <c r="F16" i="39"/>
  <c r="E16" i="39"/>
  <c r="H17" i="39"/>
  <c r="F17" i="39"/>
  <c r="E17" i="39"/>
  <c r="H19" i="39"/>
  <c r="F19" i="39"/>
  <c r="E19" i="39"/>
  <c r="D3" i="56"/>
  <c r="H34" i="39"/>
  <c r="F34" i="39"/>
  <c r="E34" i="39"/>
  <c r="H18" i="39"/>
  <c r="F18" i="39"/>
  <c r="E18" i="39"/>
  <c r="H33" i="39"/>
  <c r="F33" i="39"/>
  <c r="E33" i="39"/>
  <c r="I3" i="51"/>
  <c r="J3" i="50"/>
  <c r="E3" i="55"/>
  <c r="G3" i="53"/>
  <c r="F3" i="54"/>
  <c r="K3" i="49"/>
  <c r="G2" i="48"/>
  <c r="R2" i="46"/>
  <c r="Z2" i="48"/>
  <c r="M2" i="42"/>
  <c r="AF2" i="42"/>
  <c r="E2" i="48"/>
  <c r="U2" i="48"/>
  <c r="R2" i="48"/>
  <c r="AG2" i="42"/>
  <c r="J2" i="42"/>
  <c r="F2" i="42"/>
  <c r="D2" i="54"/>
  <c r="AA2" i="46"/>
  <c r="S2" i="48"/>
  <c r="K2" i="42"/>
  <c r="H2" i="46"/>
  <c r="H2" i="48"/>
  <c r="AG2" i="48"/>
  <c r="AD2" i="47"/>
  <c r="D2" i="53"/>
  <c r="AC2" i="46"/>
  <c r="P2" i="42"/>
  <c r="AB2" i="46"/>
  <c r="F2" i="52"/>
  <c r="V2" i="42"/>
  <c r="E2" i="46"/>
  <c r="U2" i="42"/>
  <c r="E2" i="49"/>
  <c r="V2" i="48"/>
  <c r="N2" i="42"/>
  <c r="AD2" i="48"/>
  <c r="V2" i="46"/>
  <c r="AB2" i="47"/>
  <c r="AB2" i="48"/>
  <c r="X2" i="46"/>
  <c r="Y2" i="47"/>
  <c r="D2" i="50"/>
  <c r="AF2" i="48"/>
  <c r="L2" i="42"/>
  <c r="AE2" i="46"/>
  <c r="AF2" i="47"/>
  <c r="X2" i="47"/>
  <c r="D2" i="55"/>
  <c r="D2" i="51"/>
  <c r="G2" i="49"/>
  <c r="Q2" i="47"/>
  <c r="L2" i="47"/>
  <c r="S2" i="47"/>
  <c r="D2" i="47"/>
  <c r="AC2" i="47"/>
  <c r="X2" i="48"/>
  <c r="F2" i="47"/>
  <c r="O2" i="42"/>
  <c r="H2" i="50"/>
  <c r="L2" i="46"/>
  <c r="I2" i="49"/>
  <c r="E2" i="53"/>
  <c r="K2" i="48"/>
  <c r="H2" i="42"/>
  <c r="W2" i="48"/>
  <c r="G2" i="50"/>
  <c r="Y2" i="46"/>
  <c r="V2" i="47"/>
  <c r="L2" i="48"/>
  <c r="G2" i="47"/>
  <c r="M2" i="48"/>
  <c r="S2" i="42"/>
  <c r="E2" i="42"/>
  <c r="T2" i="46"/>
  <c r="T2" i="48"/>
  <c r="AE2" i="42"/>
  <c r="Y2" i="48"/>
  <c r="S2" i="46"/>
  <c r="AG2" i="46"/>
  <c r="U2" i="46"/>
  <c r="W2" i="42"/>
  <c r="Z2" i="46"/>
  <c r="AB2" i="42"/>
  <c r="E2" i="54"/>
  <c r="D2" i="46"/>
  <c r="AA2" i="47"/>
  <c r="AH2" i="46"/>
  <c r="D2" i="49"/>
  <c r="AA2" i="42"/>
  <c r="K2" i="47"/>
  <c r="J2" i="47"/>
  <c r="I2" i="46"/>
  <c r="N2" i="46"/>
  <c r="T2" i="47"/>
  <c r="J2" i="48"/>
  <c r="Q2" i="48"/>
  <c r="AG2" i="47"/>
  <c r="G2" i="51"/>
  <c r="H2" i="51"/>
  <c r="AD2" i="42"/>
  <c r="Y2" i="42"/>
  <c r="AH2" i="48"/>
  <c r="Z2" i="47"/>
  <c r="Q2" i="46"/>
  <c r="E2" i="47"/>
  <c r="W2" i="46"/>
  <c r="W2" i="47"/>
  <c r="AA2" i="48"/>
  <c r="AE2" i="48"/>
  <c r="AC2" i="48"/>
  <c r="F2" i="51"/>
  <c r="O2" i="47"/>
  <c r="E2" i="52"/>
  <c r="Z2" i="42"/>
  <c r="R2" i="47"/>
  <c r="F2" i="48"/>
  <c r="D2" i="42"/>
  <c r="AF2" i="46"/>
  <c r="D2" i="48"/>
  <c r="E2" i="50"/>
  <c r="G2" i="46"/>
  <c r="P2" i="46"/>
  <c r="I2" i="50"/>
  <c r="G2" i="52"/>
  <c r="H2" i="49"/>
  <c r="AC2" i="42"/>
  <c r="N2" i="47"/>
  <c r="P2" i="47"/>
  <c r="AE2" i="47"/>
  <c r="Q2" i="42"/>
  <c r="F2" i="53"/>
  <c r="J2" i="46"/>
  <c r="I2" i="42"/>
  <c r="F2" i="46"/>
  <c r="F2" i="50"/>
  <c r="T2" i="42"/>
  <c r="P2" i="48"/>
  <c r="O2" i="48"/>
  <c r="G2" i="42"/>
  <c r="AD2" i="46"/>
  <c r="U2" i="47"/>
  <c r="R2" i="42"/>
  <c r="I2" i="47"/>
  <c r="N2" i="48"/>
  <c r="X2" i="42"/>
  <c r="J2" i="49"/>
  <c r="I2" i="48"/>
  <c r="M2" i="47"/>
  <c r="K2" i="46"/>
  <c r="D2" i="52"/>
  <c r="O2" i="46"/>
  <c r="E2" i="51"/>
  <c r="AH2" i="47"/>
  <c r="M2" i="46"/>
  <c r="F2" i="49"/>
  <c r="H2" i="47"/>
  <c r="AH2" i="42"/>
  <c r="E3" i="56"/>
  <c r="L3" i="49"/>
  <c r="K3" i="50"/>
  <c r="F3" i="55"/>
  <c r="J3" i="51"/>
  <c r="G3" i="54"/>
  <c r="H3" i="53"/>
  <c r="I3" i="52"/>
  <c r="E2" i="55"/>
  <c r="D2" i="56"/>
  <c r="F2" i="54"/>
  <c r="J2" i="50"/>
  <c r="I2" i="51"/>
  <c r="H2" i="52"/>
  <c r="G2" i="53"/>
  <c r="K2" i="49"/>
  <c r="G3" i="55"/>
  <c r="I3" i="53"/>
  <c r="L3" i="50"/>
  <c r="H3" i="54"/>
  <c r="M3" i="49"/>
  <c r="J3" i="52"/>
  <c r="K3" i="51"/>
  <c r="F3" i="56"/>
  <c r="E2" i="56"/>
  <c r="L2" i="49"/>
  <c r="I2" i="52"/>
  <c r="F2" i="55"/>
  <c r="K2" i="50"/>
  <c r="H2" i="53"/>
  <c r="J2" i="51"/>
  <c r="G2" i="54"/>
  <c r="G3" i="56"/>
  <c r="I3" i="54"/>
  <c r="L3" i="51"/>
  <c r="M3" i="50"/>
  <c r="K3" i="52"/>
  <c r="J3" i="53"/>
  <c r="N3" i="49"/>
  <c r="H3" i="55"/>
  <c r="L2" i="50"/>
  <c r="M2" i="49"/>
  <c r="F2" i="56"/>
  <c r="I2" i="53"/>
  <c r="G2" i="55"/>
  <c r="H2" i="54"/>
  <c r="J2" i="52"/>
  <c r="K2" i="51"/>
  <c r="I3" i="55"/>
  <c r="N3" i="50"/>
  <c r="M3" i="51"/>
  <c r="O3" i="49"/>
  <c r="J3" i="54"/>
  <c r="K3" i="53"/>
  <c r="L3" i="52"/>
  <c r="H3" i="56"/>
  <c r="N2" i="49"/>
  <c r="K2" i="52"/>
  <c r="J2" i="53"/>
  <c r="G2" i="56"/>
  <c r="I2" i="54"/>
  <c r="L2" i="51"/>
  <c r="M2" i="50"/>
  <c r="H2" i="55"/>
  <c r="P3" i="49"/>
  <c r="M3" i="52"/>
  <c r="N3" i="51"/>
  <c r="I3" i="56"/>
  <c r="O3" i="50"/>
  <c r="L3" i="53"/>
  <c r="K3" i="54"/>
  <c r="J3" i="55"/>
  <c r="L2" i="52"/>
  <c r="J2" i="54"/>
  <c r="O2" i="49"/>
  <c r="H2" i="56"/>
  <c r="N2" i="50"/>
  <c r="M2" i="51"/>
  <c r="K2" i="53"/>
  <c r="I2" i="55"/>
  <c r="K3" i="55"/>
  <c r="J3" i="56"/>
  <c r="L3" i="54"/>
  <c r="O3" i="51"/>
  <c r="M3" i="53"/>
  <c r="N3" i="52"/>
  <c r="P3" i="50"/>
  <c r="Q3" i="49"/>
  <c r="J2" i="55"/>
  <c r="K2" i="54"/>
  <c r="L2" i="53"/>
  <c r="N2" i="51"/>
  <c r="O2" i="50"/>
  <c r="M2" i="52"/>
  <c r="I2" i="56"/>
  <c r="P2" i="49"/>
  <c r="R3" i="49"/>
  <c r="P3" i="51"/>
  <c r="M3" i="54"/>
  <c r="K3" i="56"/>
  <c r="O3" i="52"/>
  <c r="Q3" i="50"/>
  <c r="N3" i="53"/>
  <c r="L3" i="55"/>
  <c r="P2" i="50"/>
  <c r="L2" i="54"/>
  <c r="N2" i="52"/>
  <c r="O2" i="51"/>
  <c r="J2" i="56"/>
  <c r="M2" i="53"/>
  <c r="K2" i="55"/>
  <c r="Q2" i="49"/>
  <c r="M3" i="55"/>
  <c r="L3" i="56"/>
  <c r="O3" i="53"/>
  <c r="Q3" i="51"/>
  <c r="N3" i="54"/>
  <c r="R3" i="50"/>
  <c r="P3" i="52"/>
  <c r="S3" i="49"/>
  <c r="O2" i="52"/>
  <c r="N2" i="53"/>
  <c r="K2" i="56"/>
  <c r="P2" i="51"/>
  <c r="L2" i="55"/>
  <c r="M2" i="54"/>
  <c r="Q2" i="50"/>
  <c r="R2" i="49"/>
  <c r="R3" i="51"/>
  <c r="P3" i="53"/>
  <c r="M3" i="56"/>
  <c r="T3" i="49"/>
  <c r="Q3" i="52"/>
  <c r="S3" i="50"/>
  <c r="O3" i="54"/>
  <c r="N3" i="55"/>
  <c r="Q2" i="51"/>
  <c r="P2" i="52"/>
  <c r="O2" i="53"/>
  <c r="R2" i="50"/>
  <c r="S2" i="49"/>
  <c r="L2" i="56"/>
  <c r="N2" i="54"/>
  <c r="M2" i="55"/>
  <c r="O3" i="55"/>
  <c r="N3" i="56"/>
  <c r="U3" i="49"/>
  <c r="P3" i="54"/>
  <c r="T3" i="50"/>
  <c r="Q3" i="53"/>
  <c r="R3" i="52"/>
  <c r="S3" i="51"/>
  <c r="T2" i="49"/>
  <c r="P2" i="53"/>
  <c r="M2" i="56"/>
  <c r="R2" i="51"/>
  <c r="N2" i="55"/>
  <c r="S2" i="50"/>
  <c r="Q2" i="52"/>
  <c r="O2" i="54"/>
  <c r="T3" i="51"/>
  <c r="Q3" i="54"/>
  <c r="V3" i="49"/>
  <c r="R3" i="53"/>
  <c r="O3" i="56"/>
  <c r="S3" i="52"/>
  <c r="U3" i="50"/>
  <c r="P3" i="55"/>
  <c r="U2" i="49"/>
  <c r="T2" i="50"/>
  <c r="O2" i="55"/>
  <c r="N2" i="56"/>
  <c r="R2" i="52"/>
  <c r="S2" i="51"/>
  <c r="Q2" i="53"/>
  <c r="P2" i="54"/>
  <c r="Q3" i="55"/>
  <c r="S3" i="53"/>
  <c r="W3" i="49"/>
  <c r="R3" i="54"/>
  <c r="T3" i="52"/>
  <c r="V3" i="50"/>
  <c r="P3" i="56"/>
  <c r="U3" i="51"/>
  <c r="Q2" i="54"/>
  <c r="S2" i="52"/>
  <c r="U2" i="50"/>
  <c r="O2" i="56"/>
  <c r="R2" i="53"/>
  <c r="P2" i="55"/>
  <c r="V2" i="49"/>
  <c r="T2" i="51"/>
  <c r="Q3" i="56"/>
  <c r="X3" i="49"/>
  <c r="V3" i="51"/>
  <c r="W3" i="50"/>
  <c r="T3" i="53"/>
  <c r="S3" i="54"/>
  <c r="U3" i="52"/>
  <c r="R3" i="55"/>
  <c r="S2" i="53"/>
  <c r="U2" i="51"/>
  <c r="W2" i="49"/>
  <c r="P2" i="56"/>
  <c r="T2" i="52"/>
  <c r="Q2" i="55"/>
  <c r="V2" i="50"/>
  <c r="R2" i="54"/>
  <c r="X3" i="50"/>
  <c r="W3" i="51"/>
  <c r="V3" i="52"/>
  <c r="T3" i="54"/>
  <c r="Y3" i="49"/>
  <c r="S3" i="55"/>
  <c r="U3" i="53"/>
  <c r="R3" i="56"/>
  <c r="T2" i="53"/>
  <c r="V2" i="51"/>
  <c r="Q2" i="56"/>
  <c r="S2" i="54"/>
  <c r="W2" i="50"/>
  <c r="X2" i="49"/>
  <c r="R2" i="55"/>
  <c r="U2" i="52"/>
  <c r="S3" i="56"/>
  <c r="U3" i="54"/>
  <c r="W3" i="52"/>
  <c r="T3" i="55"/>
  <c r="X3" i="51"/>
  <c r="V3" i="53"/>
  <c r="Z3" i="49"/>
  <c r="Y3" i="50"/>
  <c r="U2" i="53"/>
  <c r="R2" i="56"/>
  <c r="T2" i="54"/>
  <c r="S2" i="55"/>
  <c r="Y2" i="49"/>
  <c r="X2" i="50"/>
  <c r="W2" i="51"/>
  <c r="V2" i="52"/>
  <c r="Z3" i="50"/>
  <c r="U3" i="55"/>
  <c r="AA3" i="49"/>
  <c r="X3" i="52"/>
  <c r="W3" i="53"/>
  <c r="V3" i="54"/>
  <c r="Y3" i="51"/>
  <c r="T3" i="56"/>
  <c r="Y2" i="50"/>
  <c r="S2" i="56"/>
  <c r="V2" i="53"/>
  <c r="T2" i="55"/>
  <c r="X2" i="51"/>
  <c r="W2" i="52"/>
  <c r="U2" i="54"/>
  <c r="Z2" i="49"/>
  <c r="Y3" i="52"/>
  <c r="AB3" i="49"/>
  <c r="U3" i="56"/>
  <c r="V3" i="55"/>
  <c r="Z3" i="51"/>
  <c r="W3" i="54"/>
  <c r="X3" i="53"/>
  <c r="AA3" i="50"/>
  <c r="Z2" i="50"/>
  <c r="V2" i="54"/>
  <c r="X2" i="52"/>
  <c r="W2" i="53"/>
  <c r="U2" i="55"/>
  <c r="T2" i="56"/>
  <c r="AA2" i="49"/>
  <c r="Y2" i="51"/>
  <c r="AB3" i="50"/>
  <c r="W3" i="55"/>
  <c r="Y3" i="53"/>
  <c r="X3" i="54"/>
  <c r="AC3" i="49"/>
  <c r="V3" i="56"/>
  <c r="AA3" i="51"/>
  <c r="Z3" i="52"/>
  <c r="Z2" i="51"/>
  <c r="X2" i="53"/>
  <c r="AA2" i="50"/>
  <c r="AB2" i="49"/>
  <c r="W2" i="54"/>
  <c r="Y2" i="52"/>
  <c r="V2" i="55"/>
  <c r="U2" i="56"/>
  <c r="Y3" i="54"/>
  <c r="Z3" i="53"/>
  <c r="W3" i="56"/>
  <c r="X3" i="55"/>
  <c r="AA3" i="52"/>
  <c r="AB3" i="51"/>
  <c r="AD3" i="49"/>
  <c r="AC3" i="50"/>
  <c r="AC2" i="49"/>
  <c r="Z2" i="52"/>
  <c r="W2" i="55"/>
  <c r="Y2" i="53"/>
  <c r="V2" i="56"/>
  <c r="AB2" i="50"/>
  <c r="X2" i="54"/>
  <c r="AA2" i="51"/>
  <c r="AD3" i="50"/>
  <c r="Y3" i="55"/>
  <c r="X3" i="56"/>
  <c r="AC3" i="51"/>
  <c r="AA3" i="53"/>
  <c r="AE3" i="49"/>
  <c r="AB3" i="52"/>
  <c r="Z3" i="54"/>
  <c r="Z2" i="53"/>
  <c r="W2" i="56"/>
  <c r="AD2" i="49"/>
  <c r="AA2" i="52"/>
  <c r="AC2" i="50"/>
  <c r="AB2" i="51"/>
  <c r="X2" i="55"/>
  <c r="Y2" i="54"/>
  <c r="AD3" i="51"/>
  <c r="AA3" i="54"/>
  <c r="AC3" i="52"/>
  <c r="AF3" i="49"/>
  <c r="Z3" i="55"/>
  <c r="Y3" i="56"/>
  <c r="AB3" i="53"/>
  <c r="AE3" i="50"/>
  <c r="AB2" i="52"/>
  <c r="Y2" i="55"/>
  <c r="AD2" i="50"/>
  <c r="AA2" i="53"/>
  <c r="AE2" i="49"/>
  <c r="X2" i="56"/>
  <c r="Z2" i="54"/>
  <c r="AC2" i="51"/>
  <c r="AF3" i="50"/>
  <c r="AG3" i="49"/>
  <c r="AD3" i="52"/>
  <c r="AB3" i="54"/>
  <c r="AC3" i="53"/>
  <c r="Z3" i="56"/>
  <c r="AA3" i="55"/>
  <c r="AE3" i="51"/>
  <c r="AC2" i="52"/>
  <c r="AA2" i="54"/>
  <c r="AE2" i="50"/>
  <c r="AF2" i="49"/>
  <c r="Y2" i="56"/>
  <c r="Z2" i="55"/>
  <c r="AD2" i="51"/>
  <c r="AB2" i="53"/>
  <c r="AF3" i="51"/>
  <c r="AC3" i="54"/>
  <c r="AH3" i="49"/>
  <c r="AB3" i="55"/>
  <c r="AE3" i="52"/>
  <c r="AA3" i="56"/>
  <c r="AD3" i="53"/>
  <c r="AG3" i="50"/>
  <c r="AH2" i="49"/>
  <c r="AD2" i="52"/>
  <c r="AE2" i="51"/>
  <c r="AC2" i="53"/>
  <c r="AA2" i="55"/>
  <c r="AG2" i="49"/>
  <c r="Z2" i="56"/>
  <c r="AB2" i="54"/>
  <c r="AF2" i="50"/>
  <c r="AH3" i="50"/>
  <c r="AC3" i="55"/>
  <c r="AE3" i="53"/>
  <c r="AB3" i="56"/>
  <c r="AD3" i="54"/>
  <c r="AF3" i="52"/>
  <c r="AG3" i="51"/>
  <c r="AG2" i="50"/>
  <c r="AE2" i="52"/>
  <c r="AH2" i="50"/>
  <c r="AA2" i="56"/>
  <c r="AF2" i="51"/>
  <c r="AC2" i="54"/>
  <c r="AD2" i="53"/>
  <c r="AB2" i="55"/>
  <c r="AC3" i="56"/>
  <c r="AF3" i="53"/>
  <c r="AG3" i="52"/>
  <c r="AD3" i="55"/>
  <c r="AH3" i="51"/>
  <c r="AE3" i="54"/>
  <c r="AD2" i="54"/>
  <c r="AE2" i="53"/>
  <c r="AH2" i="51"/>
  <c r="AG2" i="51"/>
  <c r="AC2" i="55"/>
  <c r="AF2" i="52"/>
  <c r="AB2" i="56"/>
  <c r="AE3" i="55"/>
  <c r="AH3" i="52"/>
  <c r="AF3" i="54"/>
  <c r="AG3" i="53"/>
  <c r="AD3" i="56"/>
  <c r="AG2" i="52"/>
  <c r="AF2" i="53"/>
  <c r="AE2" i="54"/>
  <c r="AH2" i="52"/>
  <c r="AC2" i="56"/>
  <c r="AD2" i="55"/>
  <c r="AH3" i="53"/>
  <c r="AG3" i="54"/>
  <c r="AE3" i="56"/>
  <c r="AF3" i="55"/>
  <c r="AG2" i="53"/>
  <c r="AH2" i="53"/>
  <c r="AE2" i="55"/>
  <c r="AF2" i="54"/>
  <c r="AD2" i="56"/>
  <c r="AG3" i="55"/>
  <c r="AH3" i="54"/>
  <c r="AF3" i="56"/>
  <c r="AG2" i="54"/>
  <c r="AF2" i="55"/>
  <c r="AE2" i="56"/>
  <c r="AH2" i="54"/>
  <c r="AG3" i="56"/>
  <c r="AH3" i="55"/>
  <c r="AG2" i="55"/>
  <c r="AF2" i="56"/>
  <c r="AH2" i="55"/>
  <c r="AH3" i="56"/>
  <c r="AH2" i="56"/>
  <c r="AG2" i="5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B3" authorId="0" shapeId="0" xr:uid="{00000000-0006-0000-0200-000001000000}">
      <text>
        <r>
          <rPr>
            <sz val="9"/>
            <color indexed="81"/>
            <rFont val="Tahoma"/>
            <family val="2"/>
          </rPr>
          <t>When adding rows. Please</t>
        </r>
        <r>
          <rPr>
            <b/>
            <sz val="9"/>
            <color indexed="81"/>
            <rFont val="Tahoma"/>
            <family val="2"/>
          </rPr>
          <t xml:space="preserve"> </t>
        </r>
        <r>
          <rPr>
            <sz val="9"/>
            <color indexed="81"/>
            <rFont val="Tahoma"/>
            <family val="2"/>
          </rPr>
          <t xml:space="preserve">right click on table and click </t>
        </r>
        <r>
          <rPr>
            <b/>
            <sz val="9"/>
            <color indexed="81"/>
            <rFont val="Tahoma"/>
            <family val="2"/>
          </rPr>
          <t xml:space="preserve">Insert </t>
        </r>
        <r>
          <rPr>
            <sz val="9"/>
            <color indexed="81"/>
            <rFont val="Tahoma"/>
            <family val="2"/>
          </rPr>
          <t>&gt;</t>
        </r>
        <r>
          <rPr>
            <b/>
            <sz val="9"/>
            <color indexed="81"/>
            <rFont val="Tahoma"/>
            <family val="2"/>
          </rPr>
          <t xml:space="preserve"> Table row below.</t>
        </r>
      </text>
    </comment>
    <comment ref="D4" authorId="0" shapeId="0" xr:uid="{00000000-0006-0000-0200-000002000000}">
      <text>
        <r>
          <rPr>
            <sz val="9"/>
            <color indexed="81"/>
            <rFont val="Tahoma"/>
            <family val="2"/>
          </rPr>
          <t>When changing or adding dates, please write the month and the day of the month as text, e.g. 'apr 3.</t>
        </r>
      </text>
    </comment>
    <comment ref="B10" authorId="0" shapeId="0" xr:uid="{00000000-0006-0000-0200-000003000000}">
      <text>
        <r>
          <rPr>
            <sz val="9"/>
            <color indexed="81"/>
            <rFont val="Tahoma"/>
            <family val="2"/>
          </rPr>
          <t>When adding rows. Please right click on table and click</t>
        </r>
        <r>
          <rPr>
            <b/>
            <sz val="9"/>
            <color indexed="81"/>
            <rFont val="Tahoma"/>
            <family val="2"/>
          </rPr>
          <t xml:space="preserve"> Insert</t>
        </r>
        <r>
          <rPr>
            <sz val="9"/>
            <color indexed="81"/>
            <rFont val="Tahoma"/>
            <family val="2"/>
          </rPr>
          <t xml:space="preserve"> &gt; </t>
        </r>
        <r>
          <rPr>
            <b/>
            <sz val="9"/>
            <color indexed="81"/>
            <rFont val="Tahoma"/>
            <family val="2"/>
          </rPr>
          <t>Table row below</t>
        </r>
        <r>
          <rPr>
            <sz val="9"/>
            <color indexed="81"/>
            <rFont val="Tahoma"/>
            <family val="2"/>
          </rPr>
          <t>.</t>
        </r>
      </text>
    </comment>
    <comment ref="D11" authorId="0" shapeId="0" xr:uid="{00000000-0006-0000-0200-000004000000}">
      <text>
        <r>
          <rPr>
            <sz val="9"/>
            <color indexed="81"/>
            <rFont val="Tahoma"/>
            <family val="2"/>
          </rPr>
          <t>When changing or adding dates, please write the month and the day of the month as text, e.g. 'apr 3.</t>
        </r>
      </text>
    </comment>
    <comment ref="B21" authorId="0" shapeId="0" xr:uid="{00000000-0006-0000-0200-000005000000}">
      <text>
        <r>
          <rPr>
            <sz val="9"/>
            <color indexed="81"/>
            <rFont val="Tahoma"/>
            <family val="2"/>
          </rPr>
          <t>When adding rows. Please right click on table and click</t>
        </r>
        <r>
          <rPr>
            <b/>
            <sz val="9"/>
            <color indexed="81"/>
            <rFont val="Tahoma"/>
            <family val="2"/>
          </rPr>
          <t xml:space="preserve"> Insert </t>
        </r>
        <r>
          <rPr>
            <sz val="9"/>
            <color indexed="81"/>
            <rFont val="Tahoma"/>
            <family val="2"/>
          </rPr>
          <t xml:space="preserve">&gt; </t>
        </r>
        <r>
          <rPr>
            <b/>
            <sz val="9"/>
            <color indexed="81"/>
            <rFont val="Tahoma"/>
            <family val="2"/>
          </rPr>
          <t>Table row below</t>
        </r>
        <r>
          <rPr>
            <sz val="9"/>
            <color indexed="81"/>
            <rFont val="Tahoma"/>
            <family val="2"/>
          </rPr>
          <t>.</t>
        </r>
      </text>
    </comment>
    <comment ref="D22" authorId="0" shapeId="0" xr:uid="{00000000-0006-0000-0200-000006000000}">
      <text>
        <r>
          <rPr>
            <sz val="9"/>
            <color indexed="81"/>
            <rFont val="Tahoma"/>
            <family val="2"/>
          </rPr>
          <t xml:space="preserve">When changing or adding dates, please write the month and the day of the month as text, e.g. 'apr 3.
</t>
        </r>
      </text>
    </comment>
    <comment ref="B29" authorId="0" shapeId="0" xr:uid="{00000000-0006-0000-0200-000007000000}">
      <text>
        <r>
          <rPr>
            <sz val="9"/>
            <color indexed="81"/>
            <rFont val="Tahoma"/>
            <family val="2"/>
          </rPr>
          <t xml:space="preserve">When adding rows. Please right click on table and click </t>
        </r>
        <r>
          <rPr>
            <b/>
            <sz val="9"/>
            <color indexed="81"/>
            <rFont val="Tahoma"/>
            <family val="2"/>
          </rPr>
          <t>Insert</t>
        </r>
        <r>
          <rPr>
            <sz val="9"/>
            <color indexed="81"/>
            <rFont val="Tahoma"/>
            <family val="2"/>
          </rPr>
          <t xml:space="preserve"> &gt; </t>
        </r>
        <r>
          <rPr>
            <b/>
            <sz val="9"/>
            <color indexed="81"/>
            <rFont val="Tahoma"/>
            <family val="2"/>
          </rPr>
          <t>Table row below</t>
        </r>
        <r>
          <rPr>
            <sz val="9"/>
            <color indexed="81"/>
            <rFont val="Tahoma"/>
            <family val="2"/>
          </rPr>
          <t>.</t>
        </r>
      </text>
    </comment>
    <comment ref="D30" authorId="0" shapeId="0" xr:uid="{00000000-0006-0000-0200-000008000000}">
      <text>
        <r>
          <rPr>
            <sz val="9"/>
            <color indexed="81"/>
            <rFont val="Tahoma"/>
            <family val="2"/>
          </rPr>
          <t>When changing or adding dates, please write the month and the day of the month as text, e.g. 'apr 3.</t>
        </r>
      </text>
    </comment>
  </commentList>
</comments>
</file>

<file path=xl/sharedStrings.xml><?xml version="1.0" encoding="utf-8"?>
<sst xmlns="http://schemas.openxmlformats.org/spreadsheetml/2006/main" count="588" uniqueCount="255">
  <si>
    <t>Karolinska Institutet</t>
  </si>
  <si>
    <t>Date</t>
  </si>
  <si>
    <t>Management</t>
  </si>
  <si>
    <t>Total</t>
  </si>
  <si>
    <t>Total productive hours</t>
  </si>
  <si>
    <t>Total hours</t>
  </si>
  <si>
    <t>Employee:</t>
  </si>
  <si>
    <t>Year:</t>
  </si>
  <si>
    <t>Signed:</t>
  </si>
  <si>
    <t>Approved:</t>
  </si>
  <si>
    <t>Project member:</t>
  </si>
  <si>
    <t>Month</t>
  </si>
  <si>
    <t>January</t>
  </si>
  <si>
    <t>Other</t>
  </si>
  <si>
    <t>RTD</t>
  </si>
  <si>
    <t>Good Friday</t>
  </si>
  <si>
    <t>Easter Monday</t>
  </si>
  <si>
    <t>Maundy Thursday</t>
  </si>
  <si>
    <t>Holidays - fixed weekdays</t>
  </si>
  <si>
    <t>Epiphany</t>
  </si>
  <si>
    <t>Ascension Day</t>
  </si>
  <si>
    <t>Christmas Eve</t>
  </si>
  <si>
    <t>Christmas Day</t>
  </si>
  <si>
    <t>Boxing Day</t>
  </si>
  <si>
    <t>New Year's Eve</t>
  </si>
  <si>
    <t>Epiphany Eve</t>
  </si>
  <si>
    <t>New Years Day</t>
  </si>
  <si>
    <t>Day before Christmas Eve</t>
  </si>
  <si>
    <t>jan 1</t>
  </si>
  <si>
    <t>jan 6</t>
  </si>
  <si>
    <t>jun 6</t>
  </si>
  <si>
    <t>may 1</t>
  </si>
  <si>
    <t>dec 24</t>
  </si>
  <si>
    <t>dec 25</t>
  </si>
  <si>
    <t>dec 26</t>
  </si>
  <si>
    <t>dec 31</t>
  </si>
  <si>
    <t>jan 5</t>
  </si>
  <si>
    <t>dec 23</t>
  </si>
  <si>
    <t>Holidays - fixed dates</t>
  </si>
  <si>
    <t>jan</t>
  </si>
  <si>
    <t>feb</t>
  </si>
  <si>
    <t>mar</t>
  </si>
  <si>
    <t>apr</t>
  </si>
  <si>
    <t>may</t>
  </si>
  <si>
    <t>jun</t>
  </si>
  <si>
    <t>jul</t>
  </si>
  <si>
    <t>aug</t>
  </si>
  <si>
    <t>sep</t>
  </si>
  <si>
    <t>oct</t>
  </si>
  <si>
    <t>nov</t>
  </si>
  <si>
    <t>dec</t>
  </si>
  <si>
    <t>Holiday</t>
  </si>
  <si>
    <t>Weekday</t>
  </si>
  <si>
    <t>DateInYear</t>
  </si>
  <si>
    <t>Year</t>
  </si>
  <si>
    <t>Day</t>
  </si>
  <si>
    <t>x</t>
  </si>
  <si>
    <t>Notes</t>
  </si>
  <si>
    <t>H2020</t>
  </si>
  <si>
    <t>FP7</t>
  </si>
  <si>
    <t>NIH</t>
  </si>
  <si>
    <t>US Army</t>
  </si>
  <si>
    <t>Other US</t>
  </si>
  <si>
    <t>Sida</t>
  </si>
  <si>
    <t>Program</t>
  </si>
  <si>
    <t>Activity</t>
  </si>
  <si>
    <t>Activity (FP7 only)</t>
  </si>
  <si>
    <t>Coordination</t>
  </si>
  <si>
    <t>Support</t>
  </si>
  <si>
    <t>WP</t>
  </si>
  <si>
    <t>Beneficiary:</t>
  </si>
  <si>
    <t>Contract number</t>
  </si>
  <si>
    <t>Project member</t>
  </si>
  <si>
    <t>Supervisor/Person responsible</t>
  </si>
  <si>
    <t>Activities</t>
  </si>
  <si>
    <t>February</t>
  </si>
  <si>
    <t>March</t>
  </si>
  <si>
    <t>April</t>
  </si>
  <si>
    <t>May</t>
  </si>
  <si>
    <t>June</t>
  </si>
  <si>
    <t>July</t>
  </si>
  <si>
    <t>August</t>
  </si>
  <si>
    <t>September</t>
  </si>
  <si>
    <t>October</t>
  </si>
  <si>
    <t>November</t>
  </si>
  <si>
    <t>December</t>
  </si>
  <si>
    <t>Jan</t>
  </si>
  <si>
    <t>Feb</t>
  </si>
  <si>
    <t>Mar</t>
  </si>
  <si>
    <t>Apr</t>
  </si>
  <si>
    <t>Jun</t>
  </si>
  <si>
    <t>Jul</t>
  </si>
  <si>
    <t>Aug</t>
  </si>
  <si>
    <t>Sep</t>
  </si>
  <si>
    <t>Oct</t>
  </si>
  <si>
    <t>Nov</t>
  </si>
  <si>
    <t>Dec</t>
  </si>
  <si>
    <t>Total %</t>
  </si>
  <si>
    <t xml:space="preserve">Total % per month </t>
  </si>
  <si>
    <t>OVERVIEW</t>
  </si>
  <si>
    <t>TIME SHEET INSTRUCTIONS</t>
  </si>
  <si>
    <t>Contract no. Warning</t>
  </si>
  <si>
    <t>Number of projects</t>
  </si>
  <si>
    <t>EU?</t>
  </si>
  <si>
    <t>Number of WP warnings</t>
  </si>
  <si>
    <t>Start page</t>
  </si>
  <si>
    <t>OTHER HOURS WORKED</t>
  </si>
  <si>
    <t>FOR INFORMATION ON HOW TO UPDATE, PLEASE READ THE INSTRUCTIONS</t>
  </si>
  <si>
    <t>Programme/type warning</t>
  </si>
  <si>
    <t>FP7 activity warning</t>
  </si>
  <si>
    <t>Demonstration</t>
  </si>
  <si>
    <t>TIME SHEETS SHOULD BE PRINTED, SIGNED AND DATED MONTHLY</t>
  </si>
  <si>
    <t>-</t>
  </si>
  <si>
    <t>WP3</t>
  </si>
  <si>
    <t>WP1</t>
  </si>
  <si>
    <t>WP2</t>
  </si>
  <si>
    <t>WP4</t>
  </si>
  <si>
    <t>WP5</t>
  </si>
  <si>
    <t>WP6</t>
  </si>
  <si>
    <t>WP7</t>
  </si>
  <si>
    <t>WP8</t>
  </si>
  <si>
    <t>WP9</t>
  </si>
  <si>
    <t>WP10</t>
  </si>
  <si>
    <t>WP11</t>
  </si>
  <si>
    <t>WP12</t>
  </si>
  <si>
    <t>WP13</t>
  </si>
  <si>
    <t>WP14</t>
  </si>
  <si>
    <t>WP15</t>
  </si>
  <si>
    <t>WP16</t>
  </si>
  <si>
    <t>WP17</t>
  </si>
  <si>
    <t>WP18</t>
  </si>
  <si>
    <t>WP19</t>
  </si>
  <si>
    <t>WP20</t>
  </si>
  <si>
    <t>WP21</t>
  </si>
  <si>
    <t>WP22</t>
  </si>
  <si>
    <t>WP23</t>
  </si>
  <si>
    <t>WP24</t>
  </si>
  <si>
    <t>WP25</t>
  </si>
  <si>
    <t>WP26</t>
  </si>
  <si>
    <t>WP27</t>
  </si>
  <si>
    <t>WP28</t>
  </si>
  <si>
    <t>WP29</t>
  </si>
  <si>
    <t>WP30</t>
  </si>
  <si>
    <t>WP31</t>
  </si>
  <si>
    <t>WP32</t>
  </si>
  <si>
    <t>WP33</t>
  </si>
  <si>
    <t>WP34</t>
  </si>
  <si>
    <t>WP35</t>
  </si>
  <si>
    <t>WP36</t>
  </si>
  <si>
    <t>WP37</t>
  </si>
  <si>
    <t>WP38</t>
  </si>
  <si>
    <t>WP39</t>
  </si>
  <si>
    <t>WP40</t>
  </si>
  <si>
    <t>WP41</t>
  </si>
  <si>
    <t>WP42</t>
  </si>
  <si>
    <t>WP43</t>
  </si>
  <si>
    <t>WP44</t>
  </si>
  <si>
    <t>WP45</t>
  </si>
  <si>
    <t>WP46</t>
  </si>
  <si>
    <t>WP47</t>
  </si>
  <si>
    <t>WP48</t>
  </si>
  <si>
    <t>WP49</t>
  </si>
  <si>
    <t>WP50</t>
  </si>
  <si>
    <t>WP51</t>
  </si>
  <si>
    <t>WP52</t>
  </si>
  <si>
    <t>WP53</t>
  </si>
  <si>
    <t>WP54</t>
  </si>
  <si>
    <t>WP55</t>
  </si>
  <si>
    <t>WP56</t>
  </si>
  <si>
    <t>WP57</t>
  </si>
  <si>
    <t>WP58</t>
  </si>
  <si>
    <t>WP59</t>
  </si>
  <si>
    <t>WP60</t>
  </si>
  <si>
    <t>WP61</t>
  </si>
  <si>
    <t>WP62</t>
  </si>
  <si>
    <t>WP63</t>
  </si>
  <si>
    <t>WP64</t>
  </si>
  <si>
    <t>WP65</t>
  </si>
  <si>
    <t>WP66</t>
  </si>
  <si>
    <t>WP67</t>
  </si>
  <si>
    <t>WP68</t>
  </si>
  <si>
    <t>WP69</t>
  </si>
  <si>
    <t>WP70</t>
  </si>
  <si>
    <t>WP71</t>
  </si>
  <si>
    <t>WP72</t>
  </si>
  <si>
    <t>WP73</t>
  </si>
  <si>
    <t>WP74</t>
  </si>
  <si>
    <t>WP75</t>
  </si>
  <si>
    <t>WP76</t>
  </si>
  <si>
    <t>WP77</t>
  </si>
  <si>
    <t>WP78</t>
  </si>
  <si>
    <t>WP79</t>
  </si>
  <si>
    <t>WP80</t>
  </si>
  <si>
    <t>WP81</t>
  </si>
  <si>
    <t>WP82</t>
  </si>
  <si>
    <t>WP83</t>
  </si>
  <si>
    <t>WP84</t>
  </si>
  <si>
    <t>WP85</t>
  </si>
  <si>
    <t>WP86</t>
  </si>
  <si>
    <t>WP87</t>
  </si>
  <si>
    <t>WP88</t>
  </si>
  <si>
    <t>WP89</t>
  </si>
  <si>
    <t>WP90</t>
  </si>
  <si>
    <t>WP91</t>
  </si>
  <si>
    <t>WP92</t>
  </si>
  <si>
    <t>WP93</t>
  </si>
  <si>
    <t>WP94</t>
  </si>
  <si>
    <t>WP95</t>
  </si>
  <si>
    <t>WP96</t>
  </si>
  <si>
    <t>WP97</t>
  </si>
  <si>
    <t>WP98</t>
  </si>
  <si>
    <t>WP99</t>
  </si>
  <si>
    <t>IF YOU HAVE ANY QUESTIONS, PLEASE CONSULT YOUR CONTACT PERSON AT KI GRANTS MANAGEMENT OFFICE (GMO)</t>
  </si>
  <si>
    <t>Comments</t>
  </si>
  <si>
    <t>WorkHours</t>
  </si>
  <si>
    <t>Project superior:</t>
  </si>
  <si>
    <r>
      <rPr>
        <b/>
        <sz val="16"/>
        <rFont val="Calibri"/>
        <family val="2"/>
        <scheme val="minor"/>
      </rPr>
      <t>MONTHLY PAGES</t>
    </r>
    <r>
      <rPr>
        <sz val="10"/>
        <rFont val="Calibri"/>
        <family val="2"/>
        <scheme val="minor"/>
      </rPr>
      <t xml:space="preserve">
Under each specific date, fill in the number of hours you have worked in each WP/project. 
Weekends and Swedish holidays are marked with red. The light pink color indicates KI days that are shortened for TA staff (e.g. January 5). The dark pink color indicates days that are so called clamp days ("klämdagar") for TA staff (e.g. May 11) or fully shortened (e.g. November 2). See the page 'Holidays' for more information on the dates.
Please fill in the </t>
    </r>
    <r>
      <rPr>
        <b/>
        <u/>
        <sz val="10"/>
        <color theme="5" tint="-0.249977111117893"/>
        <rFont val="Calibri"/>
        <family val="2"/>
        <scheme val="minor"/>
      </rPr>
      <t>actual hours</t>
    </r>
    <r>
      <rPr>
        <sz val="10"/>
        <rFont val="Calibri"/>
        <family val="2"/>
        <scheme val="minor"/>
      </rPr>
      <t xml:space="preserve"> worked and not an estimation of time. This means, if have you worked e.g. 10 hours in a day, you should report this in the time sheets. Actual hours should be filled in regardless of your salary allocation ("lönekontering") on the project.
Please note:
</t>
    </r>
    <r>
      <rPr>
        <b/>
        <u/>
        <sz val="10"/>
        <color theme="9" tint="-0.499984740745262"/>
        <rFont val="Calibri"/>
        <family val="2"/>
        <scheme val="minor"/>
      </rPr>
      <t xml:space="preserve">You need to fill in 100% of your KI employment </t>
    </r>
    <r>
      <rPr>
        <sz val="10"/>
        <rFont val="Calibri"/>
        <family val="2"/>
        <scheme val="minor"/>
      </rPr>
      <t xml:space="preserve">and working time, even if you work part-time in each specific project. Hours outside these projects should be reported under </t>
    </r>
    <r>
      <rPr>
        <b/>
        <u/>
        <sz val="10"/>
        <color theme="9" tint="-0.499984740745262"/>
        <rFont val="Calibri"/>
        <family val="2"/>
        <scheme val="minor"/>
      </rPr>
      <t>“OTHER HOURS WORKED</t>
    </r>
    <r>
      <rPr>
        <sz val="10"/>
        <rFont val="Calibri"/>
        <family val="2"/>
        <scheme val="minor"/>
      </rPr>
      <t xml:space="preserve">”. This means, the total hours filled in your time sheets for various projects is equivalent to your percentage of employment at KI. 
The hours you report here are the 100% of your working time at KI, and is not to include the time you work for other employers.
Take into account the amount of time spent on e.g. teaching, non-project meetings (e.g. department meetings) and attending courses and report these hours under "OTHER HOURS WORKED".
If you have been on annual leave (=holidays/vacation), sick leave, parental leave or any other leave, please report those actual number of hours in the respective categories under </t>
    </r>
    <r>
      <rPr>
        <b/>
        <u/>
        <sz val="10"/>
        <color theme="5" tint="-0.249977111117893"/>
        <rFont val="Calibri"/>
        <family val="2"/>
        <scheme val="minor"/>
      </rPr>
      <t>Absences</t>
    </r>
    <r>
      <rPr>
        <u/>
        <sz val="10"/>
        <color theme="5" tint="-0.249977111117893"/>
        <rFont val="Calibri"/>
        <family val="2"/>
        <scheme val="minor"/>
      </rPr>
      <t>.</t>
    </r>
    <r>
      <rPr>
        <sz val="10"/>
        <rFont val="Calibri"/>
        <family val="2"/>
        <scheme val="minor"/>
      </rPr>
      <t xml:space="preserve"> Care of a sick child ("VAB") should be reported as 'Special leave'.
If you have standard holiday ("schablonsemester"), you should report your actual annual leave.
</t>
    </r>
  </si>
  <si>
    <t>Friday after Ascension Day</t>
  </si>
  <si>
    <t>Day after Boxing Day</t>
  </si>
  <si>
    <t>dec 27</t>
  </si>
  <si>
    <t>Day Before New Years Eve</t>
  </si>
  <si>
    <t>dec 30</t>
  </si>
  <si>
    <t>Walpurgis night</t>
  </si>
  <si>
    <t>apr 30</t>
  </si>
  <si>
    <t>Acronym / Project Name</t>
  </si>
  <si>
    <t>WP Number</t>
  </si>
  <si>
    <t>Title / function:</t>
  </si>
  <si>
    <t>Program / type</t>
  </si>
  <si>
    <r>
      <rPr>
        <b/>
        <sz val="16"/>
        <rFont val="Calibri"/>
        <family val="2"/>
        <scheme val="minor"/>
      </rPr>
      <t>START PAGE</t>
    </r>
    <r>
      <rPr>
        <sz val="11"/>
        <rFont val="Calibri"/>
        <family val="2"/>
        <scheme val="minor"/>
      </rPr>
      <t xml:space="preserve">
</t>
    </r>
    <r>
      <rPr>
        <b/>
        <sz val="10"/>
        <rFont val="Calibri"/>
        <family val="2"/>
        <scheme val="minor"/>
      </rPr>
      <t>Start by filling in the 'Start page'. This information is automatically distributed to the monthly pages. NB: this information is mandatory.</t>
    </r>
    <r>
      <rPr>
        <sz val="10"/>
        <rFont val="Calibri"/>
        <family val="2"/>
        <scheme val="minor"/>
      </rPr>
      <t xml:space="preserve">
</t>
    </r>
    <r>
      <rPr>
        <u/>
        <sz val="10"/>
        <rFont val="Calibri"/>
        <family val="2"/>
        <scheme val="minor"/>
      </rPr>
      <t>Acronym</t>
    </r>
    <r>
      <rPr>
        <sz val="10"/>
        <rFont val="Calibri"/>
        <family val="2"/>
        <scheme val="minor"/>
      </rPr>
      <t xml:space="preserve"> and </t>
    </r>
    <r>
      <rPr>
        <u/>
        <sz val="10"/>
        <rFont val="Calibri"/>
        <family val="2"/>
        <scheme val="minor"/>
      </rPr>
      <t xml:space="preserve">Contract number </t>
    </r>
    <r>
      <rPr>
        <sz val="10"/>
        <rFont val="Calibri"/>
        <family val="2"/>
        <scheme val="minor"/>
      </rPr>
      <t xml:space="preserve">are free text cells, </t>
    </r>
    <r>
      <rPr>
        <u/>
        <sz val="10"/>
        <rFont val="Calibri"/>
        <family val="2"/>
        <scheme val="minor"/>
      </rPr>
      <t>WP number</t>
    </r>
    <r>
      <rPr>
        <sz val="10"/>
        <rFont val="Calibri"/>
        <family val="2"/>
        <scheme val="minor"/>
      </rPr>
      <t>,</t>
    </r>
    <r>
      <rPr>
        <u/>
        <sz val="10"/>
        <rFont val="Calibri"/>
        <family val="2"/>
        <scheme val="minor"/>
      </rPr>
      <t xml:space="preserve"> Program/type</t>
    </r>
    <r>
      <rPr>
        <sz val="10"/>
        <rFont val="Calibri"/>
        <family val="2"/>
        <scheme val="minor"/>
      </rPr>
      <t xml:space="preserve"> 
and </t>
    </r>
    <r>
      <rPr>
        <u/>
        <sz val="10"/>
        <rFont val="Calibri"/>
        <family val="2"/>
        <scheme val="minor"/>
      </rPr>
      <t>Activity</t>
    </r>
    <r>
      <rPr>
        <sz val="10"/>
        <rFont val="Calibri"/>
        <family val="2"/>
        <scheme val="minor"/>
      </rPr>
      <t xml:space="preserve"> are drop down menues. 
</t>
    </r>
    <r>
      <rPr>
        <u/>
        <sz val="10"/>
        <rFont val="Calibri"/>
        <family val="2"/>
        <scheme val="minor"/>
      </rPr>
      <t>Contract number</t>
    </r>
    <r>
      <rPr>
        <sz val="10"/>
        <rFont val="Calibri"/>
        <family val="2"/>
        <scheme val="minor"/>
      </rPr>
      <t xml:space="preserve"> = according to the agreement with the funding agency (Grant Agreement, subcontract agreement etc). If you don't know the contract number, please consult your grant administrator.
</t>
    </r>
    <r>
      <rPr>
        <u/>
        <sz val="10"/>
        <rFont val="Calibri"/>
        <family val="2"/>
        <scheme val="minor"/>
      </rPr>
      <t>WP no</t>
    </r>
    <r>
      <rPr>
        <sz val="10"/>
        <rFont val="Calibri"/>
        <family val="2"/>
        <scheme val="minor"/>
      </rPr>
      <t xml:space="preserve">: For EU projects, you must report your hours per Work Package (WP) for each project. If you don't know the WP numbers, please advice the PI of the project. 
WPs do not usually apply or have to be reported on ERC  and Marie Curie projects.  
You may choose "-" as WP number.  
</t>
    </r>
    <r>
      <rPr>
        <u/>
        <sz val="10"/>
        <rFont val="Calibri"/>
        <family val="2"/>
        <scheme val="minor"/>
      </rPr>
      <t>Activity</t>
    </r>
    <r>
      <rPr>
        <sz val="10"/>
        <rFont val="Calibri"/>
        <family val="2"/>
        <scheme val="minor"/>
      </rPr>
      <t xml:space="preserve"> only applies to FP7 projects.
RTD = Research &amp; Innovation
Demonstration = Prove viability of new technologies (eg. testing prototypes)
Management = Management of the consortium, normally only applies to projects where KI is the coordinator
Other = covers non-RTD/Management, e.g. dissemination, training, intellectual property rights etc
Coordination &amp; Support = only applicable for Coordination &amp; Support-projects
'OTHER HOURS WORKED' is automatically chosen as the last project row in the template.
</t>
    </r>
    <r>
      <rPr>
        <b/>
        <u/>
        <sz val="10"/>
        <color theme="5" tint="-0.249977111117893"/>
        <rFont val="Calibri"/>
        <family val="2"/>
        <scheme val="minor"/>
      </rPr>
      <t>When printing</t>
    </r>
    <r>
      <rPr>
        <sz val="10"/>
        <rFont val="Calibri"/>
        <family val="2"/>
        <scheme val="minor"/>
      </rPr>
      <t xml:space="preserve"> , please choose the range 'Start page' to 'Overview' and make sure you adjust each sheet to one page 
</t>
    </r>
    <r>
      <rPr>
        <b/>
        <sz val="11"/>
        <rFont val="Calibri"/>
        <family val="2"/>
        <scheme val="minor"/>
      </rPr>
      <t xml:space="preserve">
</t>
    </r>
  </si>
  <si>
    <t>Day before All Saints Day</t>
  </si>
  <si>
    <t xml:space="preserve">Warning signs: </t>
  </si>
  <si>
    <t>Reported &gt;24 Hrs / day</t>
  </si>
  <si>
    <t>Swedish National Day</t>
  </si>
  <si>
    <t>Bridging days for TA staff</t>
  </si>
  <si>
    <t>Excessive Productive Hrs</t>
  </si>
  <si>
    <t>TIME SHEETS  MUST BE PRINTED, SIGNED AND DATED MONTHLY</t>
  </si>
  <si>
    <t>IF YOU HAVE ANY QUESTIONS, PLEASE CONSULT YOUR CONTACT PERSON AT KI'S GRANTS MANAGEMENT OFFICE (GMO)</t>
  </si>
  <si>
    <r>
      <rPr>
        <b/>
        <u/>
        <sz val="16"/>
        <rFont val="Calibri"/>
        <family val="2"/>
        <scheme val="minor"/>
      </rPr>
      <t>MONTHLY PAGES</t>
    </r>
    <r>
      <rPr>
        <sz val="10"/>
        <rFont val="Calibri"/>
        <family val="2"/>
        <scheme val="minor"/>
      </rPr>
      <t xml:space="preserve">
</t>
    </r>
    <r>
      <rPr>
        <b/>
        <u/>
        <sz val="10"/>
        <rFont val="Calibri"/>
        <family val="2"/>
        <scheme val="minor"/>
      </rPr>
      <t>Timesheets need to be completed, printed, and signed monthly by you and your supervisor</t>
    </r>
    <r>
      <rPr>
        <b/>
        <sz val="10"/>
        <rFont val="Calibri"/>
        <family val="2"/>
        <scheme val="minor"/>
      </rPr>
      <t xml:space="preserve">.  </t>
    </r>
    <r>
      <rPr>
        <sz val="10"/>
        <rFont val="Calibri"/>
        <family val="2"/>
        <scheme val="minor"/>
      </rPr>
      <t xml:space="preserve">
Under each specific date, fill in the number of hours you have worked in each WP/project.                                                                                                                                  
</t>
    </r>
    <r>
      <rPr>
        <b/>
        <u/>
        <sz val="10"/>
        <rFont val="Calibri"/>
        <family val="2"/>
        <scheme val="minor"/>
      </rPr>
      <t xml:space="preserve">Please fill in the actual hours you have worked </t>
    </r>
    <r>
      <rPr>
        <sz val="10"/>
        <rFont val="Calibri"/>
        <family val="2"/>
        <scheme val="minor"/>
      </rPr>
      <t xml:space="preserve">- not an estimation or percentage of time. This means, for example, if you have worked 10 hours in a day, you should report 10 hours on your time sheet. You should also include any hours worked outside of normal working hours, such as weekends or holidays. 
</t>
    </r>
    <r>
      <rPr>
        <b/>
        <u/>
        <sz val="10"/>
        <rFont val="Calibri"/>
        <family val="2"/>
        <scheme val="minor"/>
      </rPr>
      <t>Only</t>
    </r>
    <r>
      <rPr>
        <sz val="10"/>
        <rFont val="Calibri"/>
        <family val="2"/>
        <scheme val="minor"/>
      </rPr>
      <t xml:space="preserve"> the hours worked under </t>
    </r>
    <r>
      <rPr>
        <b/>
        <u/>
        <sz val="10"/>
        <rFont val="Calibri"/>
        <family val="2"/>
        <scheme val="minor"/>
      </rPr>
      <t xml:space="preserve"> your KI employment</t>
    </r>
    <r>
      <rPr>
        <sz val="10"/>
        <rFont val="Calibri"/>
        <family val="2"/>
        <scheme val="minor"/>
      </rPr>
      <t xml:space="preserve"> should be reported on timesheets, and should not include any time worked for other employers ("bisysslor"), or unpaid leave (e.g.studie/tjänstledighet). Actual hours should be filled in, regardless of your salary allocation ("lönekontering") on the project. 
</t>
    </r>
    <r>
      <rPr>
        <b/>
        <u/>
        <sz val="10"/>
        <rFont val="Calibri"/>
        <family val="2"/>
        <scheme val="minor"/>
      </rPr>
      <t>Please include all of your KI hours worked</t>
    </r>
    <r>
      <rPr>
        <sz val="10"/>
        <rFont val="Calibri"/>
        <family val="2"/>
        <scheme val="minor"/>
      </rPr>
      <t xml:space="preserve">, both project specific and not project specific hours. Hours worked that are not project specific, such as teaching, non-project meetings (e.g. department meetings) and attending courses, should be reported as hours under "OTHER HOURS WORKED".
</t>
    </r>
    <r>
      <rPr>
        <b/>
        <u/>
        <sz val="10"/>
        <rFont val="Calibri"/>
        <family val="2"/>
        <scheme val="minor"/>
      </rPr>
      <t>Holidays and Leave</t>
    </r>
    <r>
      <rPr>
        <b/>
        <sz val="10"/>
        <rFont val="Calibri"/>
        <family val="2"/>
        <scheme val="minor"/>
      </rPr>
      <t>:</t>
    </r>
    <r>
      <rPr>
        <sz val="10"/>
        <rFont val="Calibri"/>
        <family val="2"/>
        <scheme val="minor"/>
      </rPr>
      <t xml:space="preserve"> Weekends and Swedish holidays are marked with red. 
For annual leave ("semester"), sick leave, parental leave ("föräldraledighet"), care of a sick child (VAB), or any other leave, please report the actual number of hours in  Absences. 
                                                                                                                                                                                                                       </t>
    </r>
    <r>
      <rPr>
        <i/>
        <sz val="10"/>
        <rFont val="Calibri"/>
        <family val="2"/>
        <scheme val="minor"/>
      </rPr>
      <t>For Technical and Administration (TA) staff only</t>
    </r>
    <r>
      <rPr>
        <sz val="10"/>
        <rFont val="Calibri"/>
        <family val="2"/>
        <scheme val="minor"/>
      </rPr>
      <t xml:space="preserve">: Days marked with light pink indicate KI days that are shortened. The dark pink color indicates days that are bridging days ("klämdagar") for TA staff. See the sheet 'Holidays' for more information. 
</t>
    </r>
  </si>
  <si>
    <r>
      <rPr>
        <b/>
        <u/>
        <sz val="16"/>
        <rFont val="Calibri"/>
        <family val="2"/>
        <scheme val="minor"/>
      </rPr>
      <t>START PAGE</t>
    </r>
    <r>
      <rPr>
        <sz val="11"/>
        <rFont val="Calibri"/>
        <family val="2"/>
        <scheme val="minor"/>
      </rPr>
      <t xml:space="preserve">
</t>
    </r>
    <r>
      <rPr>
        <b/>
        <sz val="10"/>
        <rFont val="Calibri"/>
        <family val="2"/>
        <scheme val="minor"/>
      </rPr>
      <t xml:space="preserve">Start by filling in the 'Start page'. </t>
    </r>
    <r>
      <rPr>
        <b/>
        <u/>
        <sz val="10"/>
        <rFont val="Calibri"/>
        <family val="2"/>
        <scheme val="minor"/>
      </rPr>
      <t>This information is mandatory</t>
    </r>
    <r>
      <rPr>
        <b/>
        <sz val="10"/>
        <rFont val="Calibri"/>
        <family val="2"/>
        <scheme val="minor"/>
      </rPr>
      <t xml:space="preserve"> and will automatically populate the monthly pages. </t>
    </r>
    <r>
      <rPr>
        <sz val="10"/>
        <rFont val="Calibri"/>
        <family val="2"/>
        <scheme val="minor"/>
      </rPr>
      <t xml:space="preserve">
</t>
    </r>
    <r>
      <rPr>
        <u/>
        <sz val="10"/>
        <rFont val="Calibri"/>
        <family val="2"/>
        <scheme val="minor"/>
      </rPr>
      <t>Acronym</t>
    </r>
    <r>
      <rPr>
        <sz val="10"/>
        <rFont val="Calibri"/>
        <family val="2"/>
        <scheme val="minor"/>
      </rPr>
      <t xml:space="preserve"> and </t>
    </r>
    <r>
      <rPr>
        <u/>
        <sz val="10"/>
        <rFont val="Calibri"/>
        <family val="2"/>
        <scheme val="minor"/>
      </rPr>
      <t xml:space="preserve">Contract number </t>
    </r>
    <r>
      <rPr>
        <sz val="10"/>
        <rFont val="Calibri"/>
        <family val="2"/>
        <scheme val="minor"/>
      </rPr>
      <t xml:space="preserve">are free text cells, </t>
    </r>
    <r>
      <rPr>
        <u/>
        <sz val="10"/>
        <rFont val="Calibri"/>
        <family val="2"/>
        <scheme val="minor"/>
      </rPr>
      <t>WP number</t>
    </r>
    <r>
      <rPr>
        <sz val="10"/>
        <rFont val="Calibri"/>
        <family val="2"/>
        <scheme val="minor"/>
      </rPr>
      <t>,</t>
    </r>
    <r>
      <rPr>
        <u/>
        <sz val="10"/>
        <rFont val="Calibri"/>
        <family val="2"/>
        <scheme val="minor"/>
      </rPr>
      <t xml:space="preserve"> Program/type</t>
    </r>
    <r>
      <rPr>
        <sz val="10"/>
        <rFont val="Calibri"/>
        <family val="2"/>
        <scheme val="minor"/>
      </rPr>
      <t xml:space="preserve"> 
and </t>
    </r>
    <r>
      <rPr>
        <u/>
        <sz val="10"/>
        <rFont val="Calibri"/>
        <family val="2"/>
        <scheme val="minor"/>
      </rPr>
      <t>Activity</t>
    </r>
    <r>
      <rPr>
        <sz val="10"/>
        <rFont val="Calibri"/>
        <family val="2"/>
        <scheme val="minor"/>
      </rPr>
      <t xml:space="preserve"> are drop down menus. 
</t>
    </r>
    <r>
      <rPr>
        <u/>
        <sz val="10"/>
        <rFont val="Calibri"/>
        <family val="2"/>
        <scheme val="minor"/>
      </rPr>
      <t>Contract number</t>
    </r>
    <r>
      <rPr>
        <sz val="10"/>
        <rFont val="Calibri"/>
        <family val="2"/>
        <scheme val="minor"/>
      </rPr>
      <t xml:space="preserve"> = according to the agreement with the funding agency (Grant Agreement, subcontract agreement etc). If you don't know the contract number, please consult your GMO financial manager.
</t>
    </r>
    <r>
      <rPr>
        <u/>
        <sz val="10"/>
        <rFont val="Calibri"/>
        <family val="2"/>
        <scheme val="minor"/>
      </rPr>
      <t>WP No</t>
    </r>
    <r>
      <rPr>
        <sz val="10"/>
        <rFont val="Calibri"/>
        <family val="2"/>
        <scheme val="minor"/>
      </rPr>
      <t xml:space="preserve">: For EU projects, you must report your hours per Work Package (WP) for each project. If you don't know the WP numbers, contact the PI of the project. 
For ERC, MSCA, and US projects, WPs do not usually apply or have to be reported.
For these projects, choose "-" as the WP number. 
</t>
    </r>
    <r>
      <rPr>
        <u/>
        <sz val="10"/>
        <rFont val="Calibri"/>
        <family val="2"/>
        <scheme val="minor"/>
      </rPr>
      <t>Activity</t>
    </r>
    <r>
      <rPr>
        <sz val="10"/>
        <rFont val="Calibri"/>
        <family val="2"/>
        <scheme val="minor"/>
      </rPr>
      <t xml:space="preserve"> only applies to FP7 projects.
RTD = Research &amp; Innovation
Demonstration = Prove viability of new technologies (e.g. testing prototypes)
Management = Management of the consortium, normally only applies to projects where KI is the coordinator
Other = covers non-RTD/Management, e.g. dissemination, training, intellectual property rights etc.
Coordination &amp; Support = only applicable for Coordination &amp; Support-projects
'OTHER HOURS WORKED' is locked in the template and will always show as the last activity row in the monthly pages. It relates to hours worked on projects other than EU, US, and SIDA and does not need to be changed on the Start page.
</t>
    </r>
    <r>
      <rPr>
        <sz val="10"/>
        <color theme="0"/>
        <rFont val="Calibri"/>
        <family val="2"/>
        <scheme val="minor"/>
      </rPr>
      <t>x</t>
    </r>
  </si>
  <si>
    <t>Absences (Check Instructions)</t>
  </si>
  <si>
    <t>Absences</t>
  </si>
  <si>
    <t>TIME SHEET INSTRUCTIONS - 2021</t>
  </si>
  <si>
    <t>apr 2</t>
  </si>
  <si>
    <t>apr 5</t>
  </si>
  <si>
    <t>may 13</t>
  </si>
  <si>
    <t>jun 25</t>
  </si>
  <si>
    <t>apr 1</t>
  </si>
  <si>
    <t>nov 5</t>
  </si>
  <si>
    <t>may 14</t>
  </si>
  <si>
    <t>jun 5</t>
  </si>
  <si>
    <t>Day before National Day</t>
  </si>
  <si>
    <t>Midsummer</t>
  </si>
  <si>
    <t xml:space="preserve">International Worker´s day </t>
  </si>
  <si>
    <t>Reduced working days for TA staff</t>
  </si>
  <si>
    <t>HEU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</si>
</sst>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kr&quot;_-;\-* #,##0.00\ &quot;kr&quot;_-;_-* &quot;-&quot;??\ &quot;kr&quot;_-;_-@_-"/>
    <numFmt numFmtId="164" formatCode="mmm/d"/>
    <numFmt numFmtId="165" formatCode="mmm\ d"/>
    <numFmt numFmtId="166" formatCode="d"/>
    <numFmt numFmtId="167" formatCode="0.0"/>
  </numFmts>
  <fonts count="65">
    <font>
      <sz val="11"/>
      <color theme="1"/>
      <name val="Calibri"/>
      <family val="2"/>
      <scheme val="minor"/>
    </font>
    <font>
      <sz val="10"/>
      <color theme="1"/>
      <name val="Calibri"/>
      <family val="2"/>
      <scheme val="minor"/>
    </font>
    <font>
      <sz val="10"/>
      <name val="Times New Roman"/>
      <family val="1"/>
    </font>
    <font>
      <b/>
      <sz val="11"/>
      <color theme="1"/>
      <name val="Calibri"/>
      <family val="2"/>
      <scheme val="minor"/>
    </font>
    <font>
      <sz val="8"/>
      <color theme="1"/>
      <name val="Calibri"/>
      <family val="2"/>
      <scheme val="minor"/>
    </font>
    <font>
      <b/>
      <sz val="8"/>
      <color theme="1"/>
      <name val="Calibri"/>
      <family val="2"/>
      <scheme val="minor"/>
    </font>
    <font>
      <b/>
      <sz val="10"/>
      <color theme="1"/>
      <name val="Calibri"/>
      <family val="2"/>
      <scheme val="minor"/>
    </font>
    <font>
      <b/>
      <sz val="12"/>
      <name val="Calibri"/>
      <family val="2"/>
      <scheme val="minor"/>
    </font>
    <font>
      <sz val="8"/>
      <name val="Calibri"/>
      <family val="2"/>
      <scheme val="minor"/>
    </font>
    <font>
      <i/>
      <sz val="8"/>
      <name val="Calibri"/>
      <family val="2"/>
      <scheme val="minor"/>
    </font>
    <font>
      <sz val="10"/>
      <name val="Calibri"/>
      <family val="2"/>
      <scheme val="minor"/>
    </font>
    <font>
      <sz val="9"/>
      <color theme="1"/>
      <name val="Calibri"/>
      <family val="2"/>
      <scheme val="minor"/>
    </font>
    <font>
      <b/>
      <sz val="9"/>
      <color theme="1"/>
      <name val="Calibri"/>
      <family val="2"/>
      <scheme val="minor"/>
    </font>
    <font>
      <b/>
      <sz val="8"/>
      <name val="Calibri"/>
      <family val="2"/>
      <scheme val="minor"/>
    </font>
    <font>
      <b/>
      <sz val="10"/>
      <name val="Calibri"/>
      <family val="2"/>
      <scheme val="minor"/>
    </font>
    <font>
      <sz val="12"/>
      <color theme="1"/>
      <name val="Calibri"/>
      <family val="2"/>
      <scheme val="minor"/>
    </font>
    <font>
      <sz val="11"/>
      <color theme="1"/>
      <name val="Times New Roman"/>
      <family val="1"/>
    </font>
    <font>
      <sz val="9"/>
      <color theme="1"/>
      <name val="Times New Roman"/>
      <family val="1"/>
    </font>
    <font>
      <b/>
      <sz val="11"/>
      <name val="Calibri"/>
      <family val="2"/>
      <scheme val="minor"/>
    </font>
    <font>
      <sz val="10"/>
      <color theme="1"/>
      <name val="Times New Roman"/>
      <family val="1"/>
    </font>
    <font>
      <b/>
      <sz val="14"/>
      <color theme="1"/>
      <name val="Calibri"/>
      <family val="2"/>
      <scheme val="minor"/>
    </font>
    <font>
      <b/>
      <sz val="10"/>
      <color indexed="8"/>
      <name val="Calibri"/>
      <family val="2"/>
      <scheme val="minor"/>
    </font>
    <font>
      <sz val="11"/>
      <color theme="0"/>
      <name val="Calibri"/>
      <family val="2"/>
      <scheme val="minor"/>
    </font>
    <font>
      <sz val="11"/>
      <name val="Calibri"/>
      <family val="2"/>
      <scheme val="minor"/>
    </font>
    <font>
      <sz val="10"/>
      <color theme="0"/>
      <name val="Calibri"/>
      <family val="2"/>
      <scheme val="minor"/>
    </font>
    <font>
      <sz val="9"/>
      <color theme="0"/>
      <name val="Calibri"/>
      <family val="2"/>
      <scheme val="minor"/>
    </font>
    <font>
      <sz val="9"/>
      <color indexed="81"/>
      <name val="Tahoma"/>
      <family val="2"/>
    </font>
    <font>
      <b/>
      <sz val="9"/>
      <color indexed="81"/>
      <name val="Tahoma"/>
      <family val="2"/>
    </font>
    <font>
      <sz val="11"/>
      <color theme="1"/>
      <name val="Calibri"/>
      <family val="2"/>
      <scheme val="minor"/>
    </font>
    <font>
      <b/>
      <sz val="10"/>
      <color theme="0"/>
      <name val="Calibri"/>
      <family val="2"/>
      <scheme val="minor"/>
    </font>
    <font>
      <b/>
      <sz val="9"/>
      <color theme="0"/>
      <name val="Calibri"/>
      <family val="2"/>
      <scheme val="minor"/>
    </font>
    <font>
      <i/>
      <sz val="9"/>
      <color theme="1"/>
      <name val="Calibri"/>
      <family val="2"/>
      <scheme val="minor"/>
    </font>
    <font>
      <sz val="9"/>
      <name val="Calibri"/>
      <family val="2"/>
      <scheme val="minor"/>
    </font>
    <font>
      <b/>
      <sz val="14"/>
      <color indexed="8"/>
      <name val="Calibri"/>
      <family val="2"/>
      <scheme val="minor"/>
    </font>
    <font>
      <sz val="16"/>
      <color theme="1"/>
      <name val="Calibri"/>
      <family val="2"/>
      <scheme val="minor"/>
    </font>
    <font>
      <b/>
      <sz val="16"/>
      <color theme="1"/>
      <name val="Calibri"/>
      <family val="2"/>
      <scheme val="minor"/>
    </font>
    <font>
      <b/>
      <sz val="12"/>
      <color indexed="8"/>
      <name val="Calibri"/>
      <family val="2"/>
      <scheme val="minor"/>
    </font>
    <font>
      <b/>
      <sz val="16"/>
      <color indexed="8"/>
      <name val="Calibri"/>
      <family val="2"/>
      <scheme val="minor"/>
    </font>
    <font>
      <i/>
      <sz val="12"/>
      <name val="Calibri"/>
      <family val="2"/>
      <scheme val="minor"/>
    </font>
    <font>
      <i/>
      <sz val="12"/>
      <color theme="1"/>
      <name val="Calibri"/>
      <family val="2"/>
      <scheme val="minor"/>
    </font>
    <font>
      <sz val="12"/>
      <color theme="0"/>
      <name val="Calibri"/>
      <family val="2"/>
      <scheme val="minor"/>
    </font>
    <font>
      <sz val="10"/>
      <color rgb="FFFF0000"/>
      <name val="Calibri"/>
      <family val="2"/>
      <scheme val="minor"/>
    </font>
    <font>
      <b/>
      <sz val="12"/>
      <color rgb="FFFF0000"/>
      <name val="Calibri"/>
      <family val="2"/>
      <scheme val="minor"/>
    </font>
    <font>
      <b/>
      <sz val="12"/>
      <color indexed="10"/>
      <name val="Calibri"/>
      <family val="2"/>
      <scheme val="minor"/>
    </font>
    <font>
      <sz val="12"/>
      <name val="Calibri"/>
      <family val="2"/>
      <scheme val="minor"/>
    </font>
    <font>
      <b/>
      <sz val="12"/>
      <color theme="1"/>
      <name val="Calibri"/>
      <family val="2"/>
      <scheme val="minor"/>
    </font>
    <font>
      <u/>
      <sz val="10"/>
      <name val="Calibri"/>
      <family val="2"/>
      <scheme val="minor"/>
    </font>
    <font>
      <b/>
      <u/>
      <sz val="10"/>
      <color theme="5" tint="-0.249977111117893"/>
      <name val="Calibri"/>
      <family val="2"/>
      <scheme val="minor"/>
    </font>
    <font>
      <u/>
      <sz val="10"/>
      <color theme="5" tint="-0.249977111117893"/>
      <name val="Calibri"/>
      <family val="2"/>
      <scheme val="minor"/>
    </font>
    <font>
      <b/>
      <sz val="14"/>
      <color theme="0"/>
      <name val="Calibri"/>
      <family val="2"/>
      <scheme val="minor"/>
    </font>
    <font>
      <b/>
      <sz val="18"/>
      <color theme="1"/>
      <name val="Calibri"/>
      <family val="2"/>
      <scheme val="minor"/>
    </font>
    <font>
      <b/>
      <sz val="16"/>
      <name val="Calibri"/>
      <family val="2"/>
      <scheme val="minor"/>
    </font>
    <font>
      <b/>
      <sz val="14"/>
      <color rgb="FFFF0000"/>
      <name val="Calibri"/>
      <family val="2"/>
      <scheme val="minor"/>
    </font>
    <font>
      <sz val="14"/>
      <color rgb="FFFF0000"/>
      <name val="Calibri"/>
      <family val="2"/>
      <scheme val="minor"/>
    </font>
    <font>
      <b/>
      <u/>
      <sz val="10"/>
      <color theme="9" tint="-0.499984740745262"/>
      <name val="Calibri"/>
      <family val="2"/>
      <scheme val="minor"/>
    </font>
    <font>
      <b/>
      <sz val="18"/>
      <color theme="0"/>
      <name val="Calibri"/>
      <family val="2"/>
      <scheme val="minor"/>
    </font>
    <font>
      <b/>
      <sz val="12"/>
      <color theme="0"/>
      <name val="Calibri"/>
      <family val="2"/>
      <scheme val="minor"/>
    </font>
    <font>
      <b/>
      <sz val="14"/>
      <name val="Calibri"/>
      <family val="2"/>
      <scheme val="minor"/>
    </font>
    <font>
      <b/>
      <u/>
      <sz val="10"/>
      <name val="Calibri"/>
      <family val="2"/>
      <scheme val="minor"/>
    </font>
    <font>
      <i/>
      <sz val="10"/>
      <name val="Calibri"/>
      <family val="2"/>
      <scheme val="minor"/>
    </font>
    <font>
      <b/>
      <sz val="11"/>
      <color theme="0"/>
      <name val="Calibri"/>
      <family val="2"/>
      <scheme val="minor"/>
    </font>
    <font>
      <sz val="14"/>
      <color theme="1"/>
      <name val="Calibri"/>
      <family val="2"/>
      <scheme val="minor"/>
    </font>
    <font>
      <b/>
      <sz val="16"/>
      <color theme="0"/>
      <name val="Calibri"/>
      <family val="2"/>
      <scheme val="minor"/>
    </font>
    <font>
      <b/>
      <u/>
      <sz val="16"/>
      <name val="Calibri"/>
      <family val="2"/>
      <scheme val="minor"/>
    </font>
    <font>
      <sz val="11"/>
      <name val="Calibri"/>
      <scheme val="minor"/>
    </font>
  </fonts>
  <fills count="18">
    <fill>
      <patternFill patternType="none"/>
    </fill>
    <fill>
      <patternFill patternType="gray125"/>
    </fill>
    <fill>
      <patternFill patternType="solid">
        <fgColor rgb="FFFF0000"/>
        <bgColor indexed="64"/>
      </patternFill>
    </fill>
    <fill>
      <patternFill patternType="solid">
        <fgColor rgb="FFFFFF99"/>
        <bgColor indexed="64"/>
      </patternFill>
    </fill>
    <fill>
      <patternFill patternType="solid">
        <fgColor rgb="FFFF66FF"/>
        <bgColor indexed="64"/>
      </patternFill>
    </fill>
    <fill>
      <patternFill patternType="solid">
        <fgColor rgb="FFFFCCFF"/>
        <bgColor indexed="64"/>
      </patternFill>
    </fill>
    <fill>
      <patternFill patternType="solid">
        <fgColor theme="0"/>
        <bgColor indexed="64"/>
      </patternFill>
    </fill>
    <fill>
      <patternFill patternType="solid">
        <fgColor theme="6" tint="0.39997558519241921"/>
        <bgColor indexed="64"/>
      </patternFill>
    </fill>
    <fill>
      <patternFill patternType="solid">
        <fgColor rgb="FF870052"/>
        <bgColor indexed="64"/>
      </patternFill>
    </fill>
    <fill>
      <patternFill patternType="solid">
        <fgColor rgb="FFFFFFCC"/>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0" tint="-0.34998626667073579"/>
        <bgColor indexed="64"/>
      </patternFill>
    </fill>
    <fill>
      <patternFill patternType="gray0625">
        <bgColor rgb="FF7030A0"/>
      </patternFill>
    </fill>
    <fill>
      <patternFill patternType="gray0625">
        <bgColor rgb="FFFF0000"/>
      </patternFill>
    </fill>
    <fill>
      <patternFill patternType="solid">
        <fgColor theme="1" tint="0.34998626667073579"/>
        <bgColor indexed="64"/>
      </patternFill>
    </fill>
    <fill>
      <patternFill patternType="solid">
        <fgColor theme="0" tint="-0.249977111117893"/>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bottom style="thin">
        <color indexed="64"/>
      </bottom>
      <diagonal/>
    </border>
    <border>
      <left/>
      <right/>
      <top/>
      <bottom style="thick">
        <color theme="0"/>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style="thin">
        <color theme="0"/>
      </right>
      <top style="thick">
        <color theme="0"/>
      </top>
      <bottom style="thin">
        <color theme="0"/>
      </bottom>
      <diagonal/>
    </border>
    <border>
      <left style="thin">
        <color theme="0"/>
      </left>
      <right style="thin">
        <color theme="0"/>
      </right>
      <top/>
      <bottom/>
      <diagonal/>
    </border>
    <border>
      <left/>
      <right style="thin">
        <color theme="0"/>
      </right>
      <top/>
      <bottom style="thin">
        <color theme="0"/>
      </bottom>
      <diagonal/>
    </border>
    <border>
      <left/>
      <right/>
      <top/>
      <bottom style="thin">
        <color theme="1"/>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s>
  <cellStyleXfs count="2">
    <xf numFmtId="0" fontId="0" fillId="0" borderId="0"/>
    <xf numFmtId="9" fontId="28" fillId="0" borderId="0" applyFont="0" applyFill="0" applyBorder="0" applyAlignment="0" applyProtection="0"/>
  </cellStyleXfs>
  <cellXfs count="343">
    <xf numFmtId="0" fontId="0" fillId="0" borderId="0" xfId="0"/>
    <xf numFmtId="0" fontId="8" fillId="0" borderId="0" xfId="0" applyFont="1" applyAlignment="1" applyProtection="1">
      <alignment vertical="center"/>
    </xf>
    <xf numFmtId="0" fontId="9" fillId="0" borderId="0" xfId="0" applyFont="1" applyAlignment="1" applyProtection="1">
      <alignment vertical="center"/>
    </xf>
    <xf numFmtId="0" fontId="10" fillId="0" borderId="0" xfId="0" applyFont="1" applyAlignment="1" applyProtection="1">
      <alignment horizontal="left"/>
    </xf>
    <xf numFmtId="0" fontId="0" fillId="0" borderId="0" xfId="0" applyFont="1"/>
    <xf numFmtId="0" fontId="0" fillId="0" borderId="0" xfId="0" applyAlignment="1">
      <alignment horizontal="left"/>
    </xf>
    <xf numFmtId="0" fontId="15" fillId="0" borderId="0" xfId="0" applyFont="1" applyAlignment="1">
      <alignment horizontal="left"/>
    </xf>
    <xf numFmtId="0" fontId="15" fillId="0" borderId="0" xfId="0" applyFont="1"/>
    <xf numFmtId="0" fontId="16" fillId="0" borderId="0" xfId="0" applyFont="1"/>
    <xf numFmtId="0" fontId="19" fillId="0" borderId="5" xfId="0" applyFont="1" applyBorder="1" applyAlignment="1"/>
    <xf numFmtId="0" fontId="22" fillId="0" borderId="0" xfId="0" applyFont="1"/>
    <xf numFmtId="0" fontId="11" fillId="0" borderId="0" xfId="0" applyFont="1" applyProtection="1"/>
    <xf numFmtId="0" fontId="0" fillId="0" borderId="0" xfId="0" applyProtection="1"/>
    <xf numFmtId="164" fontId="0" fillId="0" borderId="0" xfId="0" quotePrefix="1" applyNumberFormat="1" applyFont="1" applyAlignment="1">
      <alignment horizontal="left"/>
    </xf>
    <xf numFmtId="0" fontId="0" fillId="0" borderId="0" xfId="0" quotePrefix="1" applyFont="1"/>
    <xf numFmtId="165" fontId="0" fillId="0" borderId="0" xfId="0" quotePrefix="1" applyNumberFormat="1" applyFont="1" applyAlignment="1">
      <alignment horizontal="left"/>
    </xf>
    <xf numFmtId="0" fontId="0" fillId="0" borderId="0" xfId="0" quotePrefix="1" applyNumberFormat="1" applyFont="1" applyAlignment="1">
      <alignment horizontal="left"/>
    </xf>
    <xf numFmtId="0" fontId="23" fillId="0" borderId="0" xfId="0" applyFont="1"/>
    <xf numFmtId="0" fontId="0" fillId="0" borderId="0" xfId="0" applyAlignment="1">
      <alignment horizontal="right"/>
    </xf>
    <xf numFmtId="14" fontId="23" fillId="0" borderId="0" xfId="0" applyNumberFormat="1" applyFont="1" applyAlignment="1">
      <alignment horizontal="right"/>
    </xf>
    <xf numFmtId="0" fontId="23" fillId="0" borderId="0" xfId="0" applyFont="1" applyAlignment="1">
      <alignment horizontal="right"/>
    </xf>
    <xf numFmtId="0" fontId="0" fillId="0" borderId="0" xfId="0" quotePrefix="1"/>
    <xf numFmtId="0" fontId="23" fillId="0" borderId="0" xfId="0" quotePrefix="1" applyFont="1"/>
    <xf numFmtId="14" fontId="0" fillId="0" borderId="0" xfId="0" applyNumberFormat="1" applyAlignment="1">
      <alignment horizontal="right"/>
    </xf>
    <xf numFmtId="0" fontId="22" fillId="0" borderId="13" xfId="0" applyFont="1" applyBorder="1"/>
    <xf numFmtId="0" fontId="23" fillId="0" borderId="15" xfId="0" applyFont="1" applyBorder="1"/>
    <xf numFmtId="0" fontId="23" fillId="5" borderId="16" xfId="0" applyFont="1" applyFill="1" applyBorder="1" applyAlignment="1">
      <alignment horizontal="center"/>
    </xf>
    <xf numFmtId="0" fontId="23" fillId="5" borderId="14" xfId="0" applyFont="1" applyFill="1" applyBorder="1" applyAlignment="1">
      <alignment horizontal="center"/>
    </xf>
    <xf numFmtId="0" fontId="22" fillId="0" borderId="0" xfId="0" applyFont="1" applyBorder="1"/>
    <xf numFmtId="0" fontId="23" fillId="4" borderId="18" xfId="0" applyFont="1" applyFill="1" applyBorder="1" applyAlignment="1">
      <alignment horizontal="center"/>
    </xf>
    <xf numFmtId="16" fontId="23" fillId="0" borderId="0" xfId="0" quotePrefix="1" applyNumberFormat="1" applyFont="1"/>
    <xf numFmtId="0" fontId="19" fillId="0" borderId="5" xfId="0" applyFont="1" applyBorder="1" applyAlignment="1">
      <alignment horizontal="right"/>
    </xf>
    <xf numFmtId="0" fontId="19" fillId="0" borderId="5" xfId="0" applyFont="1" applyBorder="1"/>
    <xf numFmtId="9" fontId="8" fillId="0" borderId="0" xfId="1" applyFont="1" applyAlignment="1" applyProtection="1">
      <alignment vertical="center"/>
    </xf>
    <xf numFmtId="0" fontId="0" fillId="0" borderId="0" xfId="0" applyBorder="1" applyProtection="1"/>
    <xf numFmtId="0" fontId="6" fillId="0" borderId="0" xfId="0" applyFont="1" applyProtection="1"/>
    <xf numFmtId="0" fontId="21" fillId="0" borderId="9" xfId="0" applyFont="1" applyBorder="1" applyAlignment="1" applyProtection="1">
      <alignment wrapText="1"/>
    </xf>
    <xf numFmtId="0" fontId="22" fillId="0" borderId="0" xfId="0" applyFont="1" applyProtection="1"/>
    <xf numFmtId="0" fontId="0" fillId="0" borderId="0" xfId="0" applyNumberFormat="1" applyAlignment="1">
      <alignment horizontal="right"/>
    </xf>
    <xf numFmtId="0" fontId="23" fillId="0" borderId="0" xfId="0" applyNumberFormat="1" applyFont="1" applyAlignment="1">
      <alignment horizontal="right"/>
    </xf>
    <xf numFmtId="0" fontId="23" fillId="4" borderId="15" xfId="0" applyFont="1" applyFill="1" applyBorder="1" applyAlignment="1">
      <alignment horizontal="center"/>
    </xf>
    <xf numFmtId="0" fontId="19" fillId="0" borderId="0" xfId="0" applyFont="1"/>
    <xf numFmtId="0" fontId="19" fillId="0" borderId="0" xfId="0" applyFont="1" applyBorder="1"/>
    <xf numFmtId="0" fontId="7" fillId="0" borderId="0" xfId="0" applyFont="1" applyBorder="1" applyAlignment="1" applyProtection="1">
      <alignment horizontal="center" vertical="center" wrapText="1"/>
    </xf>
    <xf numFmtId="0" fontId="15" fillId="0" borderId="0" xfId="0" applyFont="1" applyBorder="1" applyAlignment="1">
      <alignment horizontal="center" wrapText="1"/>
    </xf>
    <xf numFmtId="0" fontId="9" fillId="0" borderId="0" xfId="0" applyFont="1" applyFill="1" applyAlignment="1" applyProtection="1">
      <alignment vertical="center"/>
    </xf>
    <xf numFmtId="0" fontId="14" fillId="0" borderId="0" xfId="0" applyFont="1" applyFill="1" applyBorder="1" applyAlignment="1" applyProtection="1">
      <alignment horizontal="left"/>
    </xf>
    <xf numFmtId="0" fontId="11" fillId="0" borderId="0" xfId="0" applyFont="1" applyBorder="1" applyProtection="1"/>
    <xf numFmtId="0" fontId="1" fillId="0" borderId="0" xfId="0" applyFont="1" applyBorder="1" applyProtection="1"/>
    <xf numFmtId="0" fontId="1" fillId="0" borderId="0" xfId="0" applyFont="1" applyProtection="1"/>
    <xf numFmtId="0" fontId="29" fillId="0" borderId="9" xfId="0" applyFont="1" applyFill="1" applyBorder="1" applyProtection="1"/>
    <xf numFmtId="0" fontId="29" fillId="0" borderId="0" xfId="0" applyFont="1" applyFill="1" applyBorder="1" applyProtection="1"/>
    <xf numFmtId="0" fontId="25" fillId="0" borderId="0" xfId="0" applyFont="1" applyBorder="1" applyProtection="1"/>
    <xf numFmtId="0" fontId="30" fillId="0" borderId="0" xfId="0" applyFont="1" applyBorder="1" applyAlignment="1" applyProtection="1">
      <alignment horizontal="left"/>
    </xf>
    <xf numFmtId="0" fontId="12" fillId="0" borderId="0" xfId="0" applyFont="1" applyBorder="1" applyAlignment="1" applyProtection="1">
      <alignment horizontal="left"/>
    </xf>
    <xf numFmtId="0" fontId="11" fillId="0" borderId="11" xfId="0" applyFont="1" applyBorder="1" applyProtection="1"/>
    <xf numFmtId="0" fontId="12" fillId="0" borderId="11" xfId="0" applyFont="1" applyBorder="1" applyProtection="1"/>
    <xf numFmtId="0" fontId="31" fillId="0" borderId="0" xfId="0" applyFont="1" applyProtection="1"/>
    <xf numFmtId="9" fontId="11" fillId="0" borderId="0" xfId="1" applyNumberFormat="1" applyFont="1" applyBorder="1" applyProtection="1"/>
    <xf numFmtId="0" fontId="11" fillId="0" borderId="0" xfId="0" applyFont="1" applyBorder="1" applyAlignment="1" applyProtection="1"/>
    <xf numFmtId="0" fontId="11" fillId="0" borderId="0" xfId="0" applyFont="1" applyAlignment="1" applyProtection="1">
      <alignment horizontal="left"/>
    </xf>
    <xf numFmtId="0" fontId="11" fillId="0" borderId="19" xfId="0" applyFont="1" applyBorder="1" applyProtection="1"/>
    <xf numFmtId="0" fontId="12" fillId="0" borderId="0" xfId="0" applyFont="1" applyBorder="1" applyAlignment="1" applyProtection="1">
      <alignment horizontal="right"/>
    </xf>
    <xf numFmtId="0" fontId="25" fillId="0" borderId="0" xfId="0" applyFont="1" applyBorder="1" applyAlignment="1" applyProtection="1">
      <alignment horizontal="left"/>
    </xf>
    <xf numFmtId="0" fontId="0" fillId="0" borderId="0" xfId="0" applyFont="1" applyProtection="1"/>
    <xf numFmtId="0" fontId="0" fillId="0" borderId="0" xfId="0" applyFont="1" applyBorder="1" applyProtection="1"/>
    <xf numFmtId="0" fontId="22" fillId="0" borderId="0" xfId="0" applyFont="1" applyBorder="1" applyProtection="1"/>
    <xf numFmtId="0" fontId="33" fillId="0" borderId="0" xfId="0" applyFont="1" applyBorder="1" applyAlignment="1" applyProtection="1">
      <alignment horizontal="left"/>
    </xf>
    <xf numFmtId="0" fontId="0" fillId="0" borderId="0" xfId="0" applyBorder="1" applyAlignment="1">
      <alignment horizontal="left"/>
    </xf>
    <xf numFmtId="0" fontId="19" fillId="0" borderId="5" xfId="0" applyFont="1" applyBorder="1" applyAlignment="1">
      <alignment vertical="center" wrapText="1"/>
    </xf>
    <xf numFmtId="0" fontId="1" fillId="0" borderId="5" xfId="0" applyFont="1" applyBorder="1" applyAlignment="1"/>
    <xf numFmtId="0" fontId="0" fillId="0" borderId="5" xfId="0" applyFont="1" applyBorder="1"/>
    <xf numFmtId="0" fontId="1" fillId="0" borderId="5" xfId="0" applyFont="1" applyBorder="1" applyAlignment="1">
      <alignment vertical="center" wrapText="1"/>
    </xf>
    <xf numFmtId="0" fontId="1" fillId="0" borderId="5" xfId="0" applyFont="1" applyBorder="1" applyAlignment="1">
      <alignment horizontal="right"/>
    </xf>
    <xf numFmtId="0" fontId="15" fillId="0" borderId="0" xfId="0" applyFont="1" applyBorder="1" applyAlignment="1">
      <alignment horizontal="left"/>
    </xf>
    <xf numFmtId="0" fontId="32" fillId="0" borderId="0" xfId="0" applyFont="1" applyAlignment="1" applyProtection="1">
      <alignment horizontal="left"/>
    </xf>
    <xf numFmtId="0" fontId="32" fillId="0" borderId="0" xfId="0" applyFont="1" applyBorder="1" applyAlignment="1" applyProtection="1">
      <alignment horizontal="left"/>
    </xf>
    <xf numFmtId="0" fontId="11" fillId="0" borderId="0" xfId="0" applyFont="1" applyBorder="1" applyAlignment="1" applyProtection="1">
      <alignment horizontal="left"/>
    </xf>
    <xf numFmtId="0" fontId="11" fillId="0" borderId="0" xfId="0" applyFont="1" applyBorder="1" applyAlignment="1" applyProtection="1">
      <alignment horizontal="center" vertical="top"/>
    </xf>
    <xf numFmtId="0" fontId="11" fillId="0" borderId="0" xfId="0" applyFont="1" applyBorder="1" applyAlignment="1" applyProtection="1">
      <alignment horizontal="center"/>
    </xf>
    <xf numFmtId="0" fontId="7" fillId="0" borderId="0" xfId="0" quotePrefix="1" applyFont="1" applyFill="1" applyBorder="1" applyAlignment="1" applyProtection="1">
      <alignment horizontal="left" vertical="center"/>
    </xf>
    <xf numFmtId="0" fontId="0" fillId="8" borderId="5" xfId="0" applyFont="1" applyFill="1" applyBorder="1" applyAlignment="1" applyProtection="1">
      <alignment vertical="center"/>
    </xf>
    <xf numFmtId="0" fontId="0" fillId="0" borderId="0" xfId="0" applyFont="1" applyAlignment="1" applyProtection="1">
      <alignment vertical="center"/>
    </xf>
    <xf numFmtId="0" fontId="22" fillId="0" borderId="0" xfId="0" applyFont="1" applyBorder="1" applyAlignment="1" applyProtection="1">
      <alignment vertical="center"/>
    </xf>
    <xf numFmtId="0" fontId="0" fillId="0" borderId="0" xfId="0" applyFont="1" applyBorder="1" applyAlignment="1" applyProtection="1">
      <alignment vertical="center"/>
    </xf>
    <xf numFmtId="0" fontId="35" fillId="0" borderId="3" xfId="0" applyFont="1" applyBorder="1" applyAlignment="1" applyProtection="1">
      <alignment vertical="center"/>
    </xf>
    <xf numFmtId="0" fontId="35" fillId="0" borderId="2" xfId="0" applyFont="1" applyBorder="1" applyAlignment="1" applyProtection="1">
      <alignment vertical="center"/>
    </xf>
    <xf numFmtId="166" fontId="34" fillId="0" borderId="1" xfId="0" applyNumberFormat="1" applyFont="1" applyBorder="1" applyAlignment="1" applyProtection="1">
      <alignment horizontal="center" vertical="center"/>
    </xf>
    <xf numFmtId="167" fontId="1" fillId="3" borderId="1" xfId="0" applyNumberFormat="1" applyFont="1" applyFill="1" applyBorder="1" applyAlignment="1" applyProtection="1">
      <alignment horizontal="center" vertical="center"/>
      <protection locked="0"/>
    </xf>
    <xf numFmtId="167" fontId="1" fillId="0" borderId="1" xfId="0" applyNumberFormat="1" applyFont="1" applyBorder="1" applyAlignment="1" applyProtection="1">
      <alignment vertical="center"/>
    </xf>
    <xf numFmtId="167" fontId="24" fillId="8" borderId="1" xfId="0" applyNumberFormat="1" applyFont="1" applyFill="1" applyBorder="1" applyAlignment="1" applyProtection="1">
      <alignment horizontal="center" vertical="center"/>
    </xf>
    <xf numFmtId="167" fontId="1" fillId="0" borderId="0" xfId="0" applyNumberFormat="1" applyFont="1" applyBorder="1" applyAlignment="1" applyProtection="1">
      <alignment horizontal="center" vertical="center"/>
    </xf>
    <xf numFmtId="167" fontId="1" fillId="0" borderId="0" xfId="0" applyNumberFormat="1" applyFont="1" applyBorder="1" applyAlignment="1" applyProtection="1">
      <alignment vertical="center"/>
    </xf>
    <xf numFmtId="167" fontId="1" fillId="0" borderId="2" xfId="0" applyNumberFormat="1" applyFont="1" applyBorder="1" applyAlignment="1" applyProtection="1">
      <alignment horizontal="center" vertical="center"/>
    </xf>
    <xf numFmtId="167" fontId="6" fillId="0" borderId="1" xfId="0" applyNumberFormat="1" applyFont="1" applyBorder="1" applyAlignment="1" applyProtection="1">
      <alignment vertical="center"/>
    </xf>
    <xf numFmtId="0" fontId="15" fillId="0" borderId="0" xfId="0" applyFont="1" applyBorder="1" applyProtection="1"/>
    <xf numFmtId="0" fontId="37" fillId="0" borderId="0" xfId="0" applyFont="1" applyBorder="1" applyAlignment="1" applyProtection="1">
      <alignment horizontal="left" vertical="center"/>
    </xf>
    <xf numFmtId="0" fontId="1" fillId="0" borderId="0" xfId="0" applyFont="1" applyBorder="1" applyAlignment="1" applyProtection="1">
      <alignment vertical="center"/>
    </xf>
    <xf numFmtId="0" fontId="36" fillId="0" borderId="0" xfId="0" applyFont="1" applyBorder="1" applyAlignment="1" applyProtection="1">
      <alignment horizontal="right" vertical="center"/>
    </xf>
    <xf numFmtId="0" fontId="15" fillId="0" borderId="0" xfId="0" applyFont="1" applyBorder="1" applyAlignment="1" applyProtection="1">
      <alignment vertical="center"/>
    </xf>
    <xf numFmtId="0" fontId="1" fillId="0" borderId="9" xfId="0" applyFont="1" applyBorder="1" applyProtection="1"/>
    <xf numFmtId="0" fontId="38" fillId="0" borderId="0" xfId="0" applyFont="1" applyAlignment="1" applyProtection="1">
      <alignment horizontal="left"/>
    </xf>
    <xf numFmtId="0" fontId="15" fillId="0" borderId="0" xfId="0" applyFont="1" applyProtection="1"/>
    <xf numFmtId="0" fontId="39" fillId="0" borderId="0" xfId="0" applyFont="1" applyProtection="1"/>
    <xf numFmtId="0" fontId="40" fillId="0" borderId="0" xfId="0" applyFont="1" applyBorder="1" applyAlignment="1" applyProtection="1">
      <alignment horizontal="left"/>
    </xf>
    <xf numFmtId="0" fontId="40" fillId="0" borderId="0" xfId="0" applyFont="1" applyProtection="1"/>
    <xf numFmtId="0" fontId="15" fillId="0" borderId="19" xfId="0" applyFont="1" applyBorder="1" applyProtection="1"/>
    <xf numFmtId="0" fontId="15" fillId="0" borderId="9" xfId="0" applyFont="1" applyBorder="1" applyProtection="1"/>
    <xf numFmtId="0" fontId="15" fillId="0" borderId="11" xfId="0" applyFont="1" applyBorder="1" applyProtection="1"/>
    <xf numFmtId="0" fontId="15" fillId="0" borderId="0" xfId="0" applyFont="1" applyAlignment="1" applyProtection="1">
      <alignment horizontal="left"/>
    </xf>
    <xf numFmtId="0" fontId="40" fillId="0" borderId="19" xfId="0" applyFont="1" applyBorder="1" applyProtection="1"/>
    <xf numFmtId="10" fontId="1" fillId="0" borderId="1" xfId="0" applyNumberFormat="1" applyFont="1" applyBorder="1" applyAlignment="1" applyProtection="1">
      <alignment vertical="center"/>
    </xf>
    <xf numFmtId="0" fontId="1" fillId="0" borderId="0" xfId="0" applyFont="1" applyAlignment="1" applyProtection="1">
      <alignment vertical="center"/>
    </xf>
    <xf numFmtId="0" fontId="6" fillId="0" borderId="1" xfId="0" applyFont="1" applyBorder="1" applyAlignment="1" applyProtection="1">
      <alignment horizontal="center" vertical="center"/>
    </xf>
    <xf numFmtId="0" fontId="6" fillId="0" borderId="0" xfId="0" applyFont="1" applyBorder="1" applyAlignment="1" applyProtection="1">
      <alignment vertical="center"/>
    </xf>
    <xf numFmtId="0" fontId="6" fillId="0" borderId="0" xfId="0" applyFont="1" applyBorder="1" applyProtection="1"/>
    <xf numFmtId="0" fontId="24" fillId="0" borderId="9" xfId="0" applyFont="1" applyFill="1" applyBorder="1" applyAlignment="1" applyProtection="1">
      <alignment horizontal="center"/>
    </xf>
    <xf numFmtId="0" fontId="0" fillId="0" borderId="9" xfId="0" applyBorder="1" applyProtection="1"/>
    <xf numFmtId="0" fontId="0" fillId="0" borderId="0" xfId="0" applyFill="1" applyProtection="1"/>
    <xf numFmtId="0" fontId="0" fillId="0" borderId="0" xfId="0" applyFont="1" applyFill="1" applyProtection="1"/>
    <xf numFmtId="0" fontId="0" fillId="0" borderId="0" xfId="0" applyFont="1" applyFill="1" applyBorder="1" applyProtection="1"/>
    <xf numFmtId="0" fontId="0" fillId="0" borderId="0" xfId="0" applyAlignment="1" applyProtection="1">
      <alignment horizontal="left"/>
    </xf>
    <xf numFmtId="0" fontId="13" fillId="0" borderId="0" xfId="0" applyFont="1" applyFill="1" applyBorder="1" applyAlignment="1" applyProtection="1">
      <alignment horizontal="left"/>
    </xf>
    <xf numFmtId="0" fontId="17" fillId="0" borderId="0" xfId="0" applyFont="1" applyFill="1" applyBorder="1" applyAlignment="1" applyProtection="1"/>
    <xf numFmtId="0" fontId="13" fillId="0" borderId="0" xfId="0" applyFont="1" applyFill="1" applyBorder="1" applyAlignment="1" applyProtection="1">
      <alignment horizontal="center"/>
    </xf>
    <xf numFmtId="9" fontId="11" fillId="0" borderId="0" xfId="1" applyFont="1" applyProtection="1"/>
    <xf numFmtId="0" fontId="14" fillId="0" borderId="0" xfId="0" applyFont="1" applyFill="1" applyBorder="1" applyAlignment="1" applyProtection="1">
      <alignment horizontal="left" vertical="center"/>
    </xf>
    <xf numFmtId="0" fontId="0" fillId="0" borderId="0" xfId="0" applyFill="1" applyBorder="1" applyProtection="1"/>
    <xf numFmtId="0" fontId="11" fillId="0" borderId="0" xfId="0" applyFont="1" applyFill="1" applyProtection="1"/>
    <xf numFmtId="0" fontId="10" fillId="0" borderId="0" xfId="0" applyFont="1" applyFill="1" applyBorder="1" applyAlignment="1" applyProtection="1">
      <alignment horizontal="left" vertical="center"/>
    </xf>
    <xf numFmtId="0" fontId="1" fillId="0" borderId="0" xfId="0" applyFont="1" applyFill="1" applyBorder="1" applyAlignment="1" applyProtection="1">
      <alignment vertical="center"/>
    </xf>
    <xf numFmtId="0" fontId="14" fillId="0" borderId="0" xfId="0" applyFont="1" applyFill="1" applyBorder="1" applyAlignment="1" applyProtection="1">
      <alignment horizontal="center" vertical="center"/>
    </xf>
    <xf numFmtId="0" fontId="14" fillId="0" borderId="0" xfId="0" applyFont="1" applyAlignment="1" applyProtection="1">
      <alignment horizontal="left" vertical="center"/>
    </xf>
    <xf numFmtId="0" fontId="1" fillId="0" borderId="0" xfId="0" applyFont="1" applyAlignment="1" applyProtection="1">
      <alignment horizontal="left" vertical="center"/>
    </xf>
    <xf numFmtId="0" fontId="10" fillId="0" borderId="0" xfId="0" applyFont="1" applyAlignment="1" applyProtection="1">
      <alignment horizontal="left" vertical="center"/>
    </xf>
    <xf numFmtId="0" fontId="10" fillId="0" borderId="0" xfId="0" applyFont="1" applyFill="1" applyAlignment="1" applyProtection="1">
      <alignment horizontal="left" vertical="center"/>
    </xf>
    <xf numFmtId="0" fontId="1" fillId="0" borderId="0" xfId="0" applyFont="1" applyFill="1" applyAlignment="1" applyProtection="1">
      <alignment vertical="center"/>
    </xf>
    <xf numFmtId="9" fontId="1" fillId="0" borderId="0" xfId="1" applyFont="1" applyAlignment="1" applyProtection="1">
      <alignment vertical="center"/>
    </xf>
    <xf numFmtId="0" fontId="1" fillId="0" borderId="0" xfId="0" applyFont="1" applyBorder="1" applyAlignment="1" applyProtection="1">
      <alignment vertical="center" wrapText="1"/>
    </xf>
    <xf numFmtId="0" fontId="10" fillId="9" borderId="1" xfId="0" applyFont="1" applyFill="1" applyBorder="1" applyAlignment="1" applyProtection="1">
      <alignment horizontal="left" vertical="center"/>
      <protection locked="0"/>
    </xf>
    <xf numFmtId="0" fontId="10" fillId="6" borderId="0" xfId="0" applyFont="1" applyFill="1" applyBorder="1" applyAlignment="1" applyProtection="1">
      <alignment horizontal="center" vertical="center"/>
    </xf>
    <xf numFmtId="0" fontId="10" fillId="0" borderId="0" xfId="0" applyFont="1" applyFill="1" applyBorder="1" applyAlignment="1" applyProtection="1">
      <alignment horizontal="center" vertical="center"/>
    </xf>
    <xf numFmtId="0" fontId="19" fillId="0" borderId="0" xfId="0" applyFont="1" applyAlignment="1" applyProtection="1">
      <alignment vertical="center"/>
    </xf>
    <xf numFmtId="0" fontId="10" fillId="0" borderId="0" xfId="0" applyFont="1" applyBorder="1" applyAlignment="1" applyProtection="1">
      <alignment vertical="center" wrapText="1"/>
    </xf>
    <xf numFmtId="0" fontId="41" fillId="0" borderId="0" xfId="0" applyFont="1" applyAlignment="1" applyProtection="1">
      <alignment vertical="center"/>
    </xf>
    <xf numFmtId="0" fontId="14" fillId="0" borderId="0" xfId="0" applyFont="1" applyAlignment="1" applyProtection="1">
      <alignment horizontal="left"/>
    </xf>
    <xf numFmtId="0" fontId="6" fillId="0" borderId="5" xfId="0" applyFont="1" applyBorder="1" applyAlignment="1" applyProtection="1"/>
    <xf numFmtId="0" fontId="20" fillId="0" borderId="0" xfId="0" applyFont="1" applyProtection="1"/>
    <xf numFmtId="167" fontId="24" fillId="8" borderId="1" xfId="0" applyNumberFormat="1" applyFont="1" applyFill="1" applyBorder="1" applyAlignment="1" applyProtection="1">
      <alignment vertical="center"/>
    </xf>
    <xf numFmtId="10" fontId="24" fillId="8" borderId="20" xfId="0" applyNumberFormat="1" applyFont="1" applyFill="1" applyBorder="1" applyAlignment="1" applyProtection="1">
      <alignment vertical="center"/>
    </xf>
    <xf numFmtId="0" fontId="23" fillId="2" borderId="0" xfId="0" applyFont="1" applyFill="1" applyAlignment="1">
      <alignment horizontal="center"/>
    </xf>
    <xf numFmtId="0" fontId="10" fillId="0" borderId="11" xfId="0" applyFont="1" applyFill="1" applyBorder="1" applyAlignment="1" applyProtection="1">
      <alignment horizontal="left" vertical="center"/>
      <protection locked="0"/>
    </xf>
    <xf numFmtId="9" fontId="1" fillId="0" borderId="0" xfId="1" applyFont="1" applyFill="1" applyBorder="1" applyAlignment="1" applyProtection="1">
      <alignment vertical="center"/>
    </xf>
    <xf numFmtId="0" fontId="0" fillId="11" borderId="0" xfId="0" applyFill="1" applyBorder="1" applyProtection="1"/>
    <xf numFmtId="0" fontId="0" fillId="11" borderId="0" xfId="0" applyFill="1" applyProtection="1"/>
    <xf numFmtId="0" fontId="11" fillId="0" borderId="0" xfId="0" applyFont="1" applyBorder="1" applyAlignment="1" applyProtection="1">
      <alignment horizontal="left"/>
    </xf>
    <xf numFmtId="0" fontId="20" fillId="0" borderId="0" xfId="0" applyFont="1" applyAlignment="1"/>
    <xf numFmtId="2" fontId="1" fillId="3" borderId="1" xfId="0" applyNumberFormat="1" applyFont="1" applyFill="1" applyBorder="1" applyProtection="1"/>
    <xf numFmtId="2" fontId="1" fillId="0" borderId="1" xfId="0" applyNumberFormat="1" applyFont="1" applyBorder="1" applyProtection="1"/>
    <xf numFmtId="10" fontId="1" fillId="0" borderId="1" xfId="1" applyNumberFormat="1" applyFont="1" applyBorder="1" applyProtection="1"/>
    <xf numFmtId="2" fontId="1" fillId="3" borderId="2" xfId="0" applyNumberFormat="1" applyFont="1" applyFill="1" applyBorder="1" applyProtection="1"/>
    <xf numFmtId="2" fontId="24" fillId="8" borderId="1" xfId="0" applyNumberFormat="1" applyFont="1" applyFill="1" applyBorder="1" applyProtection="1"/>
    <xf numFmtId="0" fontId="24" fillId="0" borderId="0" xfId="0" applyFont="1" applyBorder="1" applyProtection="1"/>
    <xf numFmtId="2" fontId="1" fillId="0" borderId="0" xfId="0" applyNumberFormat="1" applyFont="1" applyBorder="1" applyProtection="1"/>
    <xf numFmtId="2" fontId="1" fillId="0" borderId="2" xfId="0" applyNumberFormat="1" applyFont="1" applyBorder="1" applyAlignment="1" applyProtection="1"/>
    <xf numFmtId="2" fontId="6" fillId="0" borderId="1" xfId="0" applyNumberFormat="1" applyFont="1" applyBorder="1" applyProtection="1"/>
    <xf numFmtId="0" fontId="6" fillId="0" borderId="4" xfId="0" applyFont="1" applyBorder="1" applyProtection="1"/>
    <xf numFmtId="2" fontId="1" fillId="0" borderId="0" xfId="0" applyNumberFormat="1" applyFont="1" applyBorder="1" applyAlignment="1" applyProtection="1"/>
    <xf numFmtId="0" fontId="29" fillId="0" borderId="0" xfId="0" applyFont="1" applyBorder="1" applyAlignment="1" applyProtection="1">
      <alignment horizontal="left"/>
    </xf>
    <xf numFmtId="0" fontId="6" fillId="0" borderId="0" xfId="0" applyFont="1" applyBorder="1" applyAlignment="1" applyProtection="1">
      <alignment horizontal="left"/>
    </xf>
    <xf numFmtId="2" fontId="6" fillId="0" borderId="11" xfId="0" applyNumberFormat="1" applyFont="1" applyBorder="1" applyProtection="1"/>
    <xf numFmtId="10" fontId="1" fillId="0" borderId="2" xfId="1" applyNumberFormat="1" applyFont="1" applyBorder="1" applyAlignment="1" applyProtection="1"/>
    <xf numFmtId="2" fontId="6" fillId="0" borderId="4" xfId="0" applyNumberFormat="1" applyFont="1" applyBorder="1" applyProtection="1"/>
    <xf numFmtId="0" fontId="49" fillId="8" borderId="3" xfId="0" applyFont="1" applyFill="1" applyBorder="1" applyAlignment="1" applyProtection="1">
      <alignment vertical="center"/>
    </xf>
    <xf numFmtId="0" fontId="29" fillId="8" borderId="2" xfId="0" applyFont="1" applyFill="1" applyBorder="1" applyAlignment="1" applyProtection="1">
      <alignment vertical="center"/>
    </xf>
    <xf numFmtId="0" fontId="29" fillId="8" borderId="1" xfId="0" applyFont="1" applyFill="1" applyBorder="1" applyAlignment="1" applyProtection="1">
      <alignment horizontal="center" vertical="center"/>
    </xf>
    <xf numFmtId="0" fontId="50" fillId="0" borderId="0" xfId="0" applyFont="1" applyFill="1" applyBorder="1" applyAlignment="1">
      <alignment vertical="center"/>
    </xf>
    <xf numFmtId="0" fontId="42" fillId="0" borderId="0" xfId="0" applyFont="1" applyAlignment="1" applyProtection="1">
      <alignment vertical="center"/>
    </xf>
    <xf numFmtId="0" fontId="10" fillId="0" borderId="11" xfId="0" applyFont="1" applyFill="1" applyBorder="1" applyAlignment="1" applyProtection="1">
      <alignment horizontal="left" vertical="center"/>
      <protection locked="0"/>
    </xf>
    <xf numFmtId="0" fontId="11" fillId="0" borderId="0" xfId="0" applyFont="1" applyBorder="1" applyAlignment="1" applyProtection="1">
      <alignment horizontal="left"/>
    </xf>
    <xf numFmtId="0" fontId="11" fillId="0" borderId="0" xfId="0" applyFont="1" applyBorder="1" applyAlignment="1" applyProtection="1">
      <alignment horizontal="center" vertical="top"/>
    </xf>
    <xf numFmtId="0" fontId="11" fillId="0" borderId="0" xfId="0" applyFont="1" applyBorder="1" applyAlignment="1" applyProtection="1">
      <alignment horizontal="center"/>
    </xf>
    <xf numFmtId="0" fontId="14" fillId="0" borderId="0" xfId="0" applyFont="1" applyAlignment="1" applyProtection="1">
      <alignment horizontal="right" vertical="center"/>
    </xf>
    <xf numFmtId="0" fontId="3" fillId="0" borderId="1" xfId="0" applyFont="1" applyBorder="1" applyAlignment="1" applyProtection="1">
      <alignment horizontal="center" vertical="center"/>
    </xf>
    <xf numFmtId="0" fontId="6" fillId="0" borderId="3" xfId="0" applyFont="1" applyBorder="1" applyAlignment="1" applyProtection="1">
      <alignment horizontal="center" vertical="center"/>
    </xf>
    <xf numFmtId="10" fontId="1" fillId="0" borderId="3" xfId="0" applyNumberFormat="1" applyFont="1" applyBorder="1" applyAlignment="1" applyProtection="1">
      <alignment vertical="center"/>
    </xf>
    <xf numFmtId="0" fontId="0" fillId="0" borderId="0" xfId="0" applyFont="1" applyFill="1" applyAlignment="1" applyProtection="1"/>
    <xf numFmtId="0" fontId="0" fillId="0" borderId="0" xfId="0" applyAlignment="1" applyProtection="1">
      <alignment horizontal="center"/>
    </xf>
    <xf numFmtId="0" fontId="0" fillId="0" borderId="1" xfId="0" applyFont="1" applyBorder="1" applyProtection="1">
      <protection locked="0"/>
    </xf>
    <xf numFmtId="0" fontId="0" fillId="0" borderId="1" xfId="0" applyFont="1" applyBorder="1" applyAlignment="1" applyProtection="1">
      <alignment horizontal="center"/>
      <protection locked="0"/>
    </xf>
    <xf numFmtId="167" fontId="1" fillId="3" borderId="2" xfId="0" applyNumberFormat="1" applyFont="1" applyFill="1" applyBorder="1" applyAlignment="1" applyProtection="1">
      <alignment horizontal="center" vertical="center"/>
    </xf>
    <xf numFmtId="167" fontId="1" fillId="3" borderId="1" xfId="0" applyNumberFormat="1" applyFont="1" applyFill="1" applyBorder="1" applyAlignment="1" applyProtection="1">
      <alignment horizontal="center" vertical="center"/>
    </xf>
    <xf numFmtId="0" fontId="0" fillId="0" borderId="0" xfId="0" applyFont="1" applyAlignment="1" applyProtection="1">
      <alignment horizontal="center"/>
    </xf>
    <xf numFmtId="0" fontId="0" fillId="0" borderId="0" xfId="0" applyFont="1" applyBorder="1" applyAlignment="1" applyProtection="1">
      <alignment horizontal="center"/>
    </xf>
    <xf numFmtId="44" fontId="29" fillId="8" borderId="1" xfId="0" applyNumberFormat="1" applyFont="1" applyFill="1" applyBorder="1" applyAlignment="1" applyProtection="1">
      <alignment horizontal="center" vertical="center"/>
    </xf>
    <xf numFmtId="0" fontId="0" fillId="3" borderId="4" xfId="0" applyFont="1" applyFill="1" applyBorder="1" applyAlignment="1" applyProtection="1">
      <alignment horizontal="center"/>
    </xf>
    <xf numFmtId="0" fontId="60" fillId="14" borderId="5" xfId="0" applyFont="1" applyFill="1" applyBorder="1" applyAlignment="1" applyProtection="1">
      <alignment vertical="center"/>
    </xf>
    <xf numFmtId="0" fontId="0" fillId="3" borderId="10" xfId="0" applyFont="1" applyFill="1" applyBorder="1" applyAlignment="1" applyProtection="1">
      <alignment horizontal="center"/>
    </xf>
    <xf numFmtId="0" fontId="60" fillId="15" borderId="12" xfId="0" applyFont="1" applyFill="1" applyBorder="1" applyAlignment="1" applyProtection="1">
      <alignment vertical="center"/>
    </xf>
    <xf numFmtId="0" fontId="19" fillId="0" borderId="0" xfId="0" applyFont="1" applyBorder="1" applyAlignment="1">
      <alignment vertical="center" wrapText="1"/>
    </xf>
    <xf numFmtId="0" fontId="19" fillId="0" borderId="0" xfId="0" applyFont="1" applyBorder="1" applyAlignment="1"/>
    <xf numFmtId="0" fontId="19" fillId="0" borderId="0" xfId="0" applyFont="1" applyBorder="1" applyAlignment="1">
      <alignment horizontal="right"/>
    </xf>
    <xf numFmtId="0" fontId="35" fillId="16" borderId="8" xfId="0" applyFont="1" applyFill="1" applyBorder="1" applyAlignment="1" applyProtection="1">
      <alignment horizontal="left"/>
    </xf>
    <xf numFmtId="0" fontId="62" fillId="16" borderId="8" xfId="0" applyFont="1" applyFill="1" applyBorder="1" applyAlignment="1" applyProtection="1">
      <alignment horizontal="left" vertical="center"/>
    </xf>
    <xf numFmtId="0" fontId="11" fillId="16" borderId="8" xfId="0" applyFont="1" applyFill="1" applyBorder="1" applyProtection="1"/>
    <xf numFmtId="9" fontId="11" fillId="16" borderId="8" xfId="1" applyFont="1" applyFill="1" applyBorder="1" applyProtection="1"/>
    <xf numFmtId="10" fontId="24" fillId="8" borderId="1" xfId="1" applyNumberFormat="1" applyFont="1" applyFill="1" applyBorder="1"/>
    <xf numFmtId="0" fontId="60" fillId="8" borderId="4" xfId="0" applyFont="1" applyFill="1" applyBorder="1" applyAlignment="1" applyProtection="1">
      <alignment vertical="center"/>
    </xf>
    <xf numFmtId="167" fontId="24" fillId="8" borderId="1" xfId="0" applyNumberFormat="1" applyFont="1" applyFill="1" applyBorder="1" applyAlignment="1" applyProtection="1">
      <alignment horizontal="center" vertical="center"/>
      <protection locked="0"/>
    </xf>
    <xf numFmtId="166" fontId="34" fillId="0" borderId="1" xfId="0" applyNumberFormat="1" applyFont="1" applyBorder="1" applyAlignment="1" applyProtection="1">
      <alignment horizontal="center" vertical="center"/>
      <protection locked="0"/>
    </xf>
    <xf numFmtId="167" fontId="1" fillId="0" borderId="0" xfId="0" applyNumberFormat="1" applyFont="1" applyBorder="1" applyAlignment="1" applyProtection="1">
      <alignment horizontal="center" vertical="center"/>
      <protection locked="0"/>
    </xf>
    <xf numFmtId="167" fontId="1" fillId="0" borderId="2" xfId="0" applyNumberFormat="1" applyFont="1" applyBorder="1" applyAlignment="1" applyProtection="1">
      <alignment horizontal="center" vertical="center"/>
      <protection locked="0"/>
    </xf>
    <xf numFmtId="0" fontId="10" fillId="9" borderId="1" xfId="0" applyFont="1" applyFill="1" applyBorder="1" applyAlignment="1" applyProtection="1">
      <alignment horizontal="left" vertical="center"/>
      <protection locked="0"/>
    </xf>
    <xf numFmtId="0" fontId="11" fillId="0" borderId="0" xfId="0" applyFont="1" applyBorder="1" applyAlignment="1" applyProtection="1">
      <alignment horizontal="left"/>
    </xf>
    <xf numFmtId="0" fontId="11" fillId="0" borderId="0" xfId="0" applyFont="1" applyBorder="1" applyAlignment="1" applyProtection="1">
      <alignment horizontal="center"/>
    </xf>
    <xf numFmtId="0" fontId="64" fillId="0" borderId="0" xfId="0" applyFont="1" applyBorder="1"/>
    <xf numFmtId="164" fontId="0" fillId="0" borderId="0" xfId="0" quotePrefix="1" applyNumberFormat="1" applyFont="1" applyBorder="1" applyAlignment="1">
      <alignment horizontal="left"/>
    </xf>
    <xf numFmtId="0" fontId="0" fillId="0" borderId="0" xfId="0" applyNumberFormat="1" applyBorder="1" applyAlignment="1">
      <alignment horizontal="right"/>
    </xf>
    <xf numFmtId="14" fontId="64" fillId="0" borderId="0" xfId="0" applyNumberFormat="1" applyFont="1" applyBorder="1" applyAlignment="1">
      <alignment horizontal="right"/>
    </xf>
    <xf numFmtId="0" fontId="64" fillId="0" borderId="0" xfId="0" applyNumberFormat="1" applyFont="1" applyBorder="1" applyAlignment="1">
      <alignment horizontal="right"/>
    </xf>
    <xf numFmtId="0" fontId="0" fillId="6" borderId="0" xfId="0" applyFill="1"/>
    <xf numFmtId="0" fontId="45" fillId="6" borderId="0" xfId="0" applyFont="1" applyFill="1" applyAlignment="1"/>
    <xf numFmtId="0" fontId="23" fillId="6" borderId="0" xfId="0" applyFont="1" applyFill="1"/>
    <xf numFmtId="0" fontId="18" fillId="6" borderId="0" xfId="0" applyFont="1" applyFill="1"/>
    <xf numFmtId="0" fontId="23" fillId="6" borderId="15" xfId="0" applyFont="1" applyFill="1" applyBorder="1"/>
    <xf numFmtId="0" fontId="23" fillId="6" borderId="17" xfId="0" applyFont="1" applyFill="1" applyBorder="1"/>
    <xf numFmtId="0" fontId="0" fillId="16" borderId="8" xfId="0" applyFill="1" applyBorder="1" applyAlignment="1" applyProtection="1"/>
    <xf numFmtId="0" fontId="10" fillId="10" borderId="1" xfId="0" applyFont="1" applyFill="1" applyBorder="1" applyAlignment="1" applyProtection="1">
      <alignment horizontal="left" vertical="center"/>
    </xf>
    <xf numFmtId="0" fontId="20" fillId="13" borderId="3" xfId="0" applyFont="1" applyFill="1" applyBorder="1" applyAlignment="1" applyProtection="1">
      <alignment horizontal="center" vertical="center" wrapText="1"/>
    </xf>
    <xf numFmtId="0" fontId="20" fillId="13" borderId="8" xfId="0" applyFont="1" applyFill="1" applyBorder="1" applyAlignment="1" applyProtection="1">
      <alignment horizontal="center" vertical="center" wrapText="1"/>
    </xf>
    <xf numFmtId="0" fontId="61" fillId="13" borderId="8" xfId="0" applyFont="1" applyFill="1" applyBorder="1" applyAlignment="1">
      <alignment horizontal="center" wrapText="1"/>
    </xf>
    <xf numFmtId="0" fontId="61" fillId="13" borderId="2" xfId="0" applyFont="1" applyFill="1" applyBorder="1" applyAlignment="1">
      <alignment horizontal="center" wrapText="1"/>
    </xf>
    <xf numFmtId="0" fontId="56" fillId="13" borderId="3" xfId="0" applyFont="1" applyFill="1" applyBorder="1" applyAlignment="1" applyProtection="1">
      <alignment horizontal="center" vertical="center" wrapText="1"/>
    </xf>
    <xf numFmtId="0" fontId="56" fillId="13" borderId="8" xfId="0" applyFont="1" applyFill="1" applyBorder="1" applyAlignment="1" applyProtection="1">
      <alignment horizontal="center" vertical="center" wrapText="1"/>
    </xf>
    <xf numFmtId="0" fontId="40" fillId="13" borderId="8" xfId="0" applyFont="1" applyFill="1" applyBorder="1" applyAlignment="1">
      <alignment horizontal="center" wrapText="1"/>
    </xf>
    <xf numFmtId="0" fontId="40" fillId="13" borderId="2" xfId="0" applyFont="1" applyFill="1" applyBorder="1" applyAlignment="1">
      <alignment horizontal="center" wrapText="1"/>
    </xf>
    <xf numFmtId="0" fontId="55" fillId="12" borderId="21" xfId="0" applyFont="1" applyFill="1" applyBorder="1" applyAlignment="1">
      <alignment horizontal="center" vertical="center"/>
    </xf>
    <xf numFmtId="0" fontId="55" fillId="12" borderId="22" xfId="0" applyFont="1" applyFill="1" applyBorder="1" applyAlignment="1">
      <alignment horizontal="center" vertical="center"/>
    </xf>
    <xf numFmtId="0" fontId="55" fillId="12" borderId="23" xfId="0" applyFont="1" applyFill="1" applyBorder="1" applyAlignment="1">
      <alignment horizontal="center" vertical="center"/>
    </xf>
    <xf numFmtId="0" fontId="0" fillId="0" borderId="0" xfId="0" applyFont="1" applyBorder="1" applyAlignment="1">
      <alignment horizontal="center"/>
    </xf>
    <xf numFmtId="0" fontId="0" fillId="0" borderId="9" xfId="0" applyFont="1" applyBorder="1" applyAlignment="1">
      <alignment horizontal="center"/>
    </xf>
    <xf numFmtId="0" fontId="23" fillId="0" borderId="24" xfId="0" applyFont="1" applyFill="1" applyBorder="1" applyAlignment="1">
      <alignment horizontal="left" vertical="top" wrapText="1"/>
    </xf>
    <xf numFmtId="0" fontId="23" fillId="0" borderId="25" xfId="0" applyFont="1" applyFill="1" applyBorder="1" applyAlignment="1">
      <alignment horizontal="left" vertical="top" wrapText="1"/>
    </xf>
    <xf numFmtId="0" fontId="23" fillId="0" borderId="26" xfId="0" applyFont="1" applyFill="1" applyBorder="1" applyAlignment="1">
      <alignment horizontal="left" vertical="top" wrapText="1"/>
    </xf>
    <xf numFmtId="0" fontId="23" fillId="0" borderId="27" xfId="0" applyFont="1" applyFill="1" applyBorder="1" applyAlignment="1">
      <alignment horizontal="left" vertical="top" wrapText="1"/>
    </xf>
    <xf numFmtId="0" fontId="23" fillId="0" borderId="28" xfId="0" applyFont="1" applyFill="1" applyBorder="1" applyAlignment="1">
      <alignment horizontal="left" vertical="top" wrapText="1"/>
    </xf>
    <xf numFmtId="0" fontId="23" fillId="0" borderId="29" xfId="0" applyFont="1" applyFill="1" applyBorder="1" applyAlignment="1">
      <alignment horizontal="left" vertical="top" wrapText="1"/>
    </xf>
    <xf numFmtId="0" fontId="10" fillId="0" borderId="24" xfId="0" applyFont="1" applyFill="1" applyBorder="1" applyAlignment="1" applyProtection="1">
      <alignment horizontal="left" vertical="top" wrapText="1"/>
    </xf>
    <xf numFmtId="0" fontId="10" fillId="0" borderId="30" xfId="0" applyFont="1" applyFill="1" applyBorder="1" applyAlignment="1" applyProtection="1">
      <alignment horizontal="left" vertical="top"/>
    </xf>
    <xf numFmtId="0" fontId="10" fillId="0" borderId="25" xfId="0" applyFont="1" applyFill="1" applyBorder="1" applyAlignment="1" applyProtection="1">
      <alignment horizontal="left" vertical="top"/>
    </xf>
    <xf numFmtId="0" fontId="10" fillId="0" borderId="26" xfId="0" applyFont="1" applyFill="1" applyBorder="1" applyAlignment="1" applyProtection="1">
      <alignment horizontal="left" vertical="top"/>
    </xf>
    <xf numFmtId="0" fontId="10" fillId="0" borderId="0" xfId="0" applyFont="1" applyFill="1" applyBorder="1" applyAlignment="1" applyProtection="1">
      <alignment horizontal="left" vertical="top"/>
    </xf>
    <xf numFmtId="0" fontId="10" fillId="0" borderId="27" xfId="0" applyFont="1" applyFill="1" applyBorder="1" applyAlignment="1" applyProtection="1">
      <alignment horizontal="left" vertical="top"/>
    </xf>
    <xf numFmtId="0" fontId="10" fillId="0" borderId="28" xfId="0" applyFont="1" applyFill="1" applyBorder="1" applyAlignment="1" applyProtection="1">
      <alignment horizontal="left" vertical="top"/>
    </xf>
    <xf numFmtId="0" fontId="10" fillId="0" borderId="31" xfId="0" applyFont="1" applyFill="1" applyBorder="1" applyAlignment="1" applyProtection="1">
      <alignment horizontal="left" vertical="top"/>
    </xf>
    <xf numFmtId="0" fontId="10" fillId="0" borderId="29" xfId="0" applyFont="1" applyFill="1" applyBorder="1" applyAlignment="1" applyProtection="1">
      <alignment horizontal="left" vertical="top"/>
    </xf>
    <xf numFmtId="0" fontId="55" fillId="12" borderId="3" xfId="0" applyFont="1" applyFill="1" applyBorder="1" applyAlignment="1">
      <alignment horizontal="center" vertical="center"/>
    </xf>
    <xf numFmtId="0" fontId="55" fillId="12" borderId="8" xfId="0" applyFont="1" applyFill="1" applyBorder="1" applyAlignment="1">
      <alignment horizontal="center" vertical="center"/>
    </xf>
    <xf numFmtId="0" fontId="55" fillId="12" borderId="2" xfId="0" applyFont="1" applyFill="1" applyBorder="1" applyAlignment="1">
      <alignment horizontal="center" vertical="center"/>
    </xf>
    <xf numFmtId="0" fontId="18" fillId="0" borderId="0" xfId="0" applyFont="1" applyBorder="1" applyAlignment="1" applyProtection="1">
      <alignment horizontal="center"/>
    </xf>
    <xf numFmtId="0" fontId="2" fillId="6" borderId="0" xfId="0" applyFont="1" applyFill="1" applyBorder="1" applyAlignment="1" applyProtection="1">
      <alignment horizontal="left" vertical="top" wrapText="1"/>
    </xf>
    <xf numFmtId="0" fontId="23" fillId="0" borderId="6" xfId="0" applyFont="1" applyBorder="1" applyAlignment="1">
      <alignment horizontal="left" vertical="top" wrapText="1"/>
    </xf>
    <xf numFmtId="0" fontId="23" fillId="0" borderId="7" xfId="0" applyFont="1" applyBorder="1" applyAlignment="1">
      <alignment horizontal="left" vertical="top" wrapText="1"/>
    </xf>
    <xf numFmtId="0" fontId="23" fillId="0" borderId="4" xfId="0" applyFont="1" applyBorder="1" applyAlignment="1">
      <alignment horizontal="left" vertical="top" wrapText="1"/>
    </xf>
    <xf numFmtId="0" fontId="23" fillId="0" borderId="5" xfId="0" applyFont="1" applyBorder="1" applyAlignment="1">
      <alignment horizontal="left" vertical="top" wrapText="1"/>
    </xf>
    <xf numFmtId="0" fontId="23" fillId="0" borderId="10" xfId="0" applyFont="1" applyBorder="1" applyAlignment="1">
      <alignment horizontal="left" vertical="top" wrapText="1"/>
    </xf>
    <xf numFmtId="0" fontId="23" fillId="0" borderId="12" xfId="0" applyFont="1" applyBorder="1" applyAlignment="1">
      <alignment horizontal="left" vertical="top" wrapText="1"/>
    </xf>
    <xf numFmtId="0" fontId="10" fillId="0" borderId="6" xfId="0" applyFont="1" applyBorder="1" applyAlignment="1" applyProtection="1">
      <alignment horizontal="left" vertical="top" wrapText="1"/>
    </xf>
    <xf numFmtId="0" fontId="10" fillId="0" borderId="11" xfId="0" applyFont="1" applyBorder="1" applyAlignment="1" applyProtection="1">
      <alignment horizontal="left" vertical="top"/>
    </xf>
    <xf numFmtId="0" fontId="10" fillId="0" borderId="7" xfId="0" applyFont="1" applyBorder="1" applyAlignment="1" applyProtection="1">
      <alignment horizontal="left" vertical="top"/>
    </xf>
    <xf numFmtId="0" fontId="10" fillId="0" borderId="4" xfId="0" applyFont="1" applyBorder="1" applyAlignment="1" applyProtection="1">
      <alignment horizontal="left" vertical="top"/>
    </xf>
    <xf numFmtId="0" fontId="10" fillId="0" borderId="0" xfId="0" applyFont="1" applyBorder="1" applyAlignment="1" applyProtection="1">
      <alignment horizontal="left" vertical="top"/>
    </xf>
    <xf numFmtId="0" fontId="10" fillId="0" borderId="5" xfId="0" applyFont="1" applyBorder="1" applyAlignment="1" applyProtection="1">
      <alignment horizontal="left" vertical="top"/>
    </xf>
    <xf numFmtId="0" fontId="10" fillId="0" borderId="10" xfId="0" applyFont="1" applyBorder="1" applyAlignment="1" applyProtection="1">
      <alignment horizontal="left" vertical="top"/>
    </xf>
    <xf numFmtId="0" fontId="10" fillId="0" borderId="9" xfId="0" applyFont="1" applyBorder="1" applyAlignment="1" applyProtection="1">
      <alignment horizontal="left" vertical="top"/>
    </xf>
    <xf numFmtId="0" fontId="10" fillId="0" borderId="12" xfId="0" applyFont="1" applyBorder="1" applyAlignment="1" applyProtection="1">
      <alignment horizontal="left" vertical="top"/>
    </xf>
    <xf numFmtId="0" fontId="52" fillId="13" borderId="3" xfId="0" applyFont="1" applyFill="1" applyBorder="1" applyAlignment="1" applyProtection="1">
      <alignment horizontal="center" vertical="center" wrapText="1"/>
    </xf>
    <xf numFmtId="0" fontId="52" fillId="13" borderId="8" xfId="0" applyFont="1" applyFill="1" applyBorder="1" applyAlignment="1" applyProtection="1">
      <alignment horizontal="center" vertical="center" wrapText="1"/>
    </xf>
    <xf numFmtId="0" fontId="53" fillId="13" borderId="8" xfId="0" applyFont="1" applyFill="1" applyBorder="1" applyAlignment="1">
      <alignment horizontal="center" wrapText="1"/>
    </xf>
    <xf numFmtId="0" fontId="53" fillId="13" borderId="2" xfId="0" applyFont="1" applyFill="1" applyBorder="1" applyAlignment="1">
      <alignment horizontal="center" wrapText="1"/>
    </xf>
    <xf numFmtId="0" fontId="45" fillId="17" borderId="3" xfId="0" applyFont="1" applyFill="1" applyBorder="1" applyAlignment="1" applyProtection="1">
      <alignment horizontal="center" vertical="center"/>
    </xf>
    <xf numFmtId="0" fontId="45" fillId="17" borderId="8" xfId="0" applyFont="1" applyFill="1" applyBorder="1" applyAlignment="1" applyProtection="1">
      <alignment horizontal="center" vertical="center"/>
    </xf>
    <xf numFmtId="0" fontId="45" fillId="17" borderId="2" xfId="0" applyFont="1" applyFill="1" applyBorder="1" applyAlignment="1" applyProtection="1">
      <alignment horizontal="center" vertical="center"/>
    </xf>
    <xf numFmtId="0" fontId="14" fillId="0" borderId="0" xfId="0" applyFont="1" applyAlignment="1" applyProtection="1">
      <alignment horizontal="left"/>
    </xf>
    <xf numFmtId="0" fontId="14" fillId="0" borderId="0" xfId="0" applyFont="1" applyBorder="1" applyAlignment="1" applyProtection="1">
      <alignment horizontal="left"/>
    </xf>
    <xf numFmtId="0" fontId="14" fillId="0" borderId="0" xfId="0" applyFont="1" applyAlignment="1" applyProtection="1">
      <alignment horizontal="left" wrapText="1"/>
    </xf>
    <xf numFmtId="0" fontId="10" fillId="9" borderId="3" xfId="0" applyFont="1" applyFill="1" applyBorder="1" applyAlignment="1" applyProtection="1">
      <alignment horizontal="left" vertical="center"/>
      <protection locked="0"/>
    </xf>
    <xf numFmtId="0" fontId="10" fillId="9" borderId="2" xfId="0" applyFont="1" applyFill="1" applyBorder="1" applyAlignment="1" applyProtection="1">
      <alignment horizontal="left" vertical="center"/>
      <protection locked="0"/>
    </xf>
    <xf numFmtId="0" fontId="44" fillId="7" borderId="3" xfId="0" applyFont="1" applyFill="1" applyBorder="1" applyAlignment="1" applyProtection="1">
      <alignment vertical="center"/>
      <protection locked="0"/>
    </xf>
    <xf numFmtId="0" fontId="44" fillId="7" borderId="8" xfId="0" applyFont="1" applyFill="1" applyBorder="1" applyAlignment="1" applyProtection="1">
      <alignment vertical="center"/>
      <protection locked="0"/>
    </xf>
    <xf numFmtId="0" fontId="44" fillId="7" borderId="2" xfId="0" applyFont="1" applyFill="1" applyBorder="1" applyAlignment="1" applyProtection="1">
      <alignment vertical="center"/>
      <protection locked="0"/>
    </xf>
    <xf numFmtId="0" fontId="10" fillId="9" borderId="1" xfId="0" applyFont="1" applyFill="1" applyBorder="1" applyAlignment="1" applyProtection="1">
      <alignment horizontal="left" vertical="center"/>
      <protection locked="0"/>
    </xf>
    <xf numFmtId="0" fontId="57" fillId="0" borderId="9" xfId="0" applyFont="1" applyFill="1" applyBorder="1" applyAlignment="1" applyProtection="1">
      <alignment horizontal="left" vertical="center"/>
    </xf>
    <xf numFmtId="0" fontId="10" fillId="9" borderId="8" xfId="0" applyFont="1" applyFill="1" applyBorder="1" applyAlignment="1" applyProtection="1">
      <alignment horizontal="left" vertical="center"/>
      <protection locked="0"/>
    </xf>
    <xf numFmtId="0" fontId="57" fillId="11" borderId="21" xfId="0" applyFont="1" applyFill="1" applyBorder="1" applyAlignment="1" applyProtection="1">
      <alignment horizontal="center" vertical="center"/>
    </xf>
    <xf numFmtId="0" fontId="57" fillId="11" borderId="22" xfId="0" applyFont="1" applyFill="1" applyBorder="1" applyAlignment="1" applyProtection="1">
      <alignment horizontal="center" vertical="center"/>
    </xf>
    <xf numFmtId="0" fontId="57" fillId="11" borderId="23" xfId="0" applyFont="1" applyFill="1" applyBorder="1" applyAlignment="1" applyProtection="1">
      <alignment horizontal="center" vertical="center"/>
    </xf>
    <xf numFmtId="0" fontId="14" fillId="0" borderId="9" xfId="0" applyFont="1" applyFill="1" applyBorder="1" applyAlignment="1" applyProtection="1">
      <alignment horizontal="center" vertical="center"/>
    </xf>
    <xf numFmtId="0" fontId="0" fillId="0" borderId="9" xfId="0" applyBorder="1" applyAlignment="1">
      <alignment horizontal="center" vertical="center"/>
    </xf>
    <xf numFmtId="0" fontId="10" fillId="0" borderId="11" xfId="0" applyFont="1" applyFill="1" applyBorder="1" applyAlignment="1" applyProtection="1">
      <alignment horizontal="left" vertical="center"/>
      <protection locked="0"/>
    </xf>
    <xf numFmtId="0" fontId="44" fillId="7" borderId="10" xfId="0" applyFont="1" applyFill="1" applyBorder="1" applyAlignment="1" applyProtection="1">
      <alignment horizontal="left" vertical="center"/>
      <protection locked="0"/>
    </xf>
    <xf numFmtId="0" fontId="44" fillId="7" borderId="9" xfId="0" applyFont="1" applyFill="1" applyBorder="1" applyAlignment="1" applyProtection="1">
      <alignment horizontal="left" vertical="center"/>
      <protection locked="0"/>
    </xf>
    <xf numFmtId="0" fontId="44" fillId="7" borderId="12" xfId="0" applyFont="1" applyFill="1" applyBorder="1" applyAlignment="1" applyProtection="1">
      <alignment horizontal="left" vertical="center"/>
      <protection locked="0"/>
    </xf>
    <xf numFmtId="0" fontId="44" fillId="7" borderId="3" xfId="0" applyFont="1" applyFill="1" applyBorder="1" applyAlignment="1" applyProtection="1">
      <alignment horizontal="left" vertical="center"/>
      <protection locked="0"/>
    </xf>
    <xf numFmtId="0" fontId="44" fillId="7" borderId="8" xfId="0" applyFont="1" applyFill="1" applyBorder="1" applyAlignment="1" applyProtection="1">
      <alignment horizontal="left" vertical="center"/>
      <protection locked="0"/>
    </xf>
    <xf numFmtId="0" fontId="44" fillId="7" borderId="2" xfId="0" applyFont="1" applyFill="1" applyBorder="1" applyAlignment="1" applyProtection="1">
      <alignment horizontal="left" vertical="center"/>
      <protection locked="0"/>
    </xf>
    <xf numFmtId="0" fontId="52" fillId="13" borderId="6" xfId="0" applyFont="1" applyFill="1" applyBorder="1" applyAlignment="1" applyProtection="1">
      <alignment horizontal="center" vertical="center" wrapText="1"/>
    </xf>
    <xf numFmtId="0" fontId="52" fillId="13" borderId="11" xfId="0" applyFont="1" applyFill="1" applyBorder="1" applyAlignment="1" applyProtection="1">
      <alignment horizontal="center" vertical="center" wrapText="1"/>
    </xf>
    <xf numFmtId="0" fontId="53" fillId="13" borderId="11" xfId="0" applyFont="1" applyFill="1" applyBorder="1" applyAlignment="1">
      <alignment horizontal="center" wrapText="1"/>
    </xf>
    <xf numFmtId="0" fontId="0" fillId="0" borderId="11" xfId="0" applyBorder="1" applyAlignment="1">
      <alignment wrapText="1"/>
    </xf>
    <xf numFmtId="0" fontId="0" fillId="0" borderId="7" xfId="0" applyBorder="1" applyAlignment="1">
      <alignment wrapText="1"/>
    </xf>
    <xf numFmtId="0" fontId="0" fillId="0" borderId="10" xfId="0" applyBorder="1" applyAlignment="1">
      <alignment wrapText="1"/>
    </xf>
    <xf numFmtId="0" fontId="0" fillId="0" borderId="9" xfId="0" applyBorder="1" applyAlignment="1">
      <alignment wrapText="1"/>
    </xf>
    <xf numFmtId="0" fontId="0" fillId="0" borderId="12" xfId="0" applyBorder="1" applyAlignment="1">
      <alignment wrapText="1"/>
    </xf>
    <xf numFmtId="0" fontId="4" fillId="0" borderId="0" xfId="0" applyFont="1" applyBorder="1" applyAlignment="1" applyProtection="1">
      <alignment horizontal="left"/>
    </xf>
    <xf numFmtId="0" fontId="0" fillId="0" borderId="0" xfId="0" applyBorder="1" applyAlignment="1" applyProtection="1">
      <alignment horizontal="left"/>
    </xf>
    <xf numFmtId="0" fontId="11" fillId="0" borderId="0" xfId="0" applyFont="1" applyBorder="1" applyAlignment="1" applyProtection="1">
      <alignment horizontal="left"/>
    </xf>
    <xf numFmtId="0" fontId="11" fillId="0" borderId="0" xfId="0" applyFont="1" applyBorder="1" applyAlignment="1" applyProtection="1">
      <alignment horizontal="center" vertical="top"/>
    </xf>
    <xf numFmtId="0" fontId="3" fillId="0" borderId="3" xfId="0" applyFont="1" applyBorder="1" applyAlignment="1" applyProtection="1">
      <alignment horizontal="left" vertical="center"/>
    </xf>
    <xf numFmtId="0" fontId="3" fillId="0" borderId="2" xfId="0" applyFont="1" applyBorder="1" applyAlignment="1" applyProtection="1">
      <alignment horizontal="left" vertical="center"/>
    </xf>
    <xf numFmtId="0" fontId="11" fillId="0" borderId="0" xfId="0" applyFont="1" applyBorder="1" applyAlignment="1" applyProtection="1">
      <alignment horizontal="center"/>
    </xf>
    <xf numFmtId="0" fontId="42" fillId="0" borderId="0" xfId="0" applyFont="1" applyBorder="1" applyAlignment="1" applyProtection="1">
      <alignment vertical="center"/>
    </xf>
    <xf numFmtId="0" fontId="0" fillId="0" borderId="0" xfId="0" applyFont="1" applyBorder="1" applyAlignment="1" applyProtection="1">
      <alignment horizontal="left"/>
    </xf>
    <xf numFmtId="0" fontId="5" fillId="0" borderId="0" xfId="0" applyFont="1" applyBorder="1" applyAlignment="1" applyProtection="1">
      <alignment horizontal="left"/>
    </xf>
    <xf numFmtId="0" fontId="3" fillId="0" borderId="0" xfId="0" applyFont="1" applyBorder="1" applyAlignment="1" applyProtection="1">
      <alignment horizontal="left"/>
    </xf>
    <xf numFmtId="167" fontId="3" fillId="3" borderId="3" xfId="0" applyNumberFormat="1" applyFont="1" applyFill="1" applyBorder="1" applyAlignment="1" applyProtection="1">
      <alignment horizontal="center" vertical="center"/>
      <protection locked="0"/>
    </xf>
    <xf numFmtId="0" fontId="0" fillId="0" borderId="2" xfId="0" applyFont="1" applyBorder="1" applyAlignment="1">
      <alignment horizontal="center" vertical="center"/>
    </xf>
    <xf numFmtId="0" fontId="0" fillId="0" borderId="1" xfId="0" applyNumberFormat="1" applyFont="1" applyFill="1" applyBorder="1" applyAlignment="1" applyProtection="1">
      <alignment horizontal="left" vertical="center"/>
    </xf>
    <xf numFmtId="0" fontId="0" fillId="10" borderId="1" xfId="0" applyNumberFormat="1" applyFont="1" applyFill="1" applyBorder="1" applyAlignment="1" applyProtection="1">
      <alignment horizontal="left" vertical="center"/>
    </xf>
    <xf numFmtId="0" fontId="0" fillId="0" borderId="3" xfId="0" applyNumberFormat="1" applyFont="1" applyFill="1" applyBorder="1" applyAlignment="1" applyProtection="1">
      <alignment horizontal="left" vertical="center"/>
    </xf>
    <xf numFmtId="0" fontId="0" fillId="0" borderId="2" xfId="0" applyNumberFormat="1" applyFont="1" applyFill="1" applyBorder="1" applyAlignment="1" applyProtection="1">
      <alignment horizontal="left" vertical="center"/>
    </xf>
    <xf numFmtId="0" fontId="43" fillId="0" borderId="0" xfId="0" applyFont="1" applyBorder="1" applyAlignment="1" applyProtection="1">
      <alignment vertical="center"/>
    </xf>
    <xf numFmtId="0" fontId="0" fillId="0" borderId="0" xfId="0" applyAlignment="1"/>
    <xf numFmtId="0" fontId="52" fillId="13" borderId="11" xfId="0" applyFont="1" applyFill="1" applyBorder="1" applyAlignment="1">
      <alignment horizontal="center" wrapText="1"/>
    </xf>
    <xf numFmtId="0" fontId="3" fillId="0" borderId="11" xfId="0" applyFont="1" applyBorder="1" applyAlignment="1">
      <alignment wrapText="1"/>
    </xf>
    <xf numFmtId="0" fontId="3" fillId="0" borderId="7" xfId="0" applyFont="1" applyBorder="1" applyAlignment="1">
      <alignment wrapText="1"/>
    </xf>
    <xf numFmtId="0" fontId="3" fillId="0" borderId="10" xfId="0" applyFont="1" applyBorder="1" applyAlignment="1">
      <alignment wrapText="1"/>
    </xf>
    <xf numFmtId="0" fontId="3" fillId="0" borderId="9" xfId="0" applyFont="1" applyBorder="1" applyAlignment="1">
      <alignment wrapText="1"/>
    </xf>
    <xf numFmtId="0" fontId="3" fillId="0" borderId="12" xfId="0" applyFont="1" applyBorder="1" applyAlignment="1">
      <alignment wrapText="1"/>
    </xf>
    <xf numFmtId="0" fontId="1" fillId="0" borderId="1" xfId="0" applyNumberFormat="1" applyFont="1" applyFill="1" applyBorder="1" applyAlignment="1" applyProtection="1">
      <alignment horizontal="left" indent="1"/>
    </xf>
    <xf numFmtId="0" fontId="6" fillId="0" borderId="3" xfId="0" applyFont="1" applyBorder="1" applyAlignment="1" applyProtection="1">
      <alignment horizontal="left"/>
    </xf>
    <xf numFmtId="0" fontId="6" fillId="0" borderId="2" xfId="0" applyFont="1" applyBorder="1" applyAlignment="1" applyProtection="1">
      <alignment horizontal="left"/>
    </xf>
    <xf numFmtId="0" fontId="1" fillId="10" borderId="1" xfId="0" applyNumberFormat="1" applyFont="1" applyFill="1" applyBorder="1" applyAlignment="1" applyProtection="1">
      <alignment horizontal="left" indent="1"/>
    </xf>
  </cellXfs>
  <cellStyles count="2">
    <cellStyle name="Normal" xfId="0" builtinId="0"/>
    <cellStyle name="Procent" xfId="1" builtinId="5"/>
  </cellStyles>
  <dxfs count="316">
    <dxf>
      <fill>
        <patternFill>
          <bgColor theme="6" tint="0.59996337778862885"/>
        </patternFill>
      </fill>
    </dxf>
    <dxf>
      <fill>
        <patternFill>
          <bgColor rgb="FFBE9EE2"/>
        </patternFill>
      </fill>
    </dxf>
    <dxf>
      <fill>
        <patternFill>
          <bgColor rgb="FFB4FAC6"/>
        </patternFill>
      </fill>
    </dxf>
    <dxf>
      <fill>
        <patternFill>
          <bgColor theme="3" tint="0.79998168889431442"/>
        </patternFill>
      </fill>
    </dxf>
    <dxf>
      <fill>
        <patternFill>
          <bgColor theme="0" tint="-0.14996795556505021"/>
        </patternFill>
      </fill>
    </dxf>
    <dxf>
      <fill>
        <patternFill>
          <bgColor theme="9" tint="0.59996337778862885"/>
        </patternFill>
      </fill>
    </dxf>
    <dxf>
      <fill>
        <patternFill>
          <bgColor rgb="FFFFE1FF"/>
        </patternFill>
      </fill>
    </dxf>
    <dxf>
      <fill>
        <patternFill>
          <bgColor rgb="FFE7ABCA"/>
        </patternFill>
      </fill>
    </dxf>
    <dxf>
      <fill>
        <patternFill patternType="lightUp">
          <fgColor rgb="FFFF0000"/>
        </patternFill>
      </fill>
    </dxf>
    <dxf>
      <fill>
        <patternFill>
          <bgColor rgb="FFFF0000"/>
        </patternFill>
      </fill>
    </dxf>
    <dxf>
      <fill>
        <patternFill>
          <bgColor rgb="FFFF66FF"/>
        </patternFill>
      </fill>
    </dxf>
    <dxf>
      <fill>
        <patternFill>
          <bgColor rgb="FFFF66FF"/>
        </patternFill>
      </fill>
    </dxf>
    <dxf>
      <fill>
        <patternFill>
          <bgColor rgb="FFFFCCFF"/>
        </patternFill>
      </fill>
    </dxf>
    <dxf>
      <fill>
        <patternFill>
          <bgColor rgb="FFFFCCFF"/>
        </patternFill>
      </fill>
    </dxf>
    <dxf>
      <fill>
        <patternFill>
          <bgColor rgb="FFFF0000"/>
        </patternFill>
      </fill>
    </dxf>
    <dxf>
      <fill>
        <patternFill>
          <bgColor rgb="FFFF0000"/>
        </patternFill>
      </fill>
    </dxf>
    <dxf>
      <fill>
        <patternFill patternType="lightUp">
          <fgColor rgb="FFFF0000"/>
        </patternFill>
      </fill>
    </dxf>
    <dxf>
      <fill>
        <patternFill patternType="lightUp">
          <fgColor rgb="FFFF0000"/>
        </patternFill>
      </fill>
    </dxf>
    <dxf>
      <fill>
        <patternFill>
          <bgColor theme="6" tint="0.59996337778862885"/>
        </patternFill>
      </fill>
    </dxf>
    <dxf>
      <font>
        <b/>
        <i val="0"/>
        <color theme="0"/>
      </font>
      <fill>
        <patternFill patternType="gray125">
          <bgColor rgb="FF7030A0"/>
        </patternFill>
      </fill>
    </dxf>
    <dxf>
      <fill>
        <patternFill>
          <bgColor rgb="FFFF0000"/>
        </patternFill>
      </fill>
    </dxf>
    <dxf>
      <fill>
        <patternFill patternType="lightUp">
          <fgColor rgb="FFFF0000"/>
        </patternFill>
      </fill>
    </dxf>
    <dxf>
      <fill>
        <patternFill>
          <bgColor rgb="FFBE9EE2"/>
        </patternFill>
      </fill>
    </dxf>
    <dxf>
      <fill>
        <patternFill>
          <bgColor rgb="FFB4FAC6"/>
        </patternFill>
      </fill>
    </dxf>
    <dxf>
      <fill>
        <patternFill>
          <bgColor theme="3" tint="0.79998168889431442"/>
        </patternFill>
      </fill>
    </dxf>
    <dxf>
      <fill>
        <patternFill>
          <bgColor theme="0" tint="-0.14996795556505021"/>
        </patternFill>
      </fill>
    </dxf>
    <dxf>
      <fill>
        <patternFill>
          <bgColor theme="9" tint="0.59996337778862885"/>
        </patternFill>
      </fill>
    </dxf>
    <dxf>
      <fill>
        <patternFill>
          <bgColor rgb="FFFFE1FF"/>
        </patternFill>
      </fill>
    </dxf>
    <dxf>
      <fill>
        <patternFill>
          <bgColor rgb="FFE7ABCA"/>
        </patternFill>
      </fill>
    </dxf>
    <dxf>
      <fill>
        <patternFill patternType="lightUp">
          <fgColor rgb="FFFF0000"/>
        </patternFill>
      </fill>
    </dxf>
    <dxf>
      <fill>
        <patternFill>
          <bgColor rgb="FFFF0000"/>
        </patternFill>
      </fill>
    </dxf>
    <dxf>
      <fill>
        <patternFill>
          <bgColor rgb="FFFF66FF"/>
        </patternFill>
      </fill>
    </dxf>
    <dxf>
      <fill>
        <patternFill>
          <bgColor rgb="FFFF66FF"/>
        </patternFill>
      </fill>
    </dxf>
    <dxf>
      <fill>
        <patternFill>
          <bgColor rgb="FFFFCCFF"/>
        </patternFill>
      </fill>
    </dxf>
    <dxf>
      <fill>
        <patternFill>
          <bgColor rgb="FFFFCCFF"/>
        </patternFill>
      </fill>
    </dxf>
    <dxf>
      <fill>
        <patternFill>
          <bgColor rgb="FFFF0000"/>
        </patternFill>
      </fill>
    </dxf>
    <dxf>
      <fill>
        <patternFill>
          <bgColor rgb="FFFF0000"/>
        </patternFill>
      </fill>
    </dxf>
    <dxf>
      <fill>
        <patternFill patternType="lightUp">
          <fgColor rgb="FFFF0000"/>
        </patternFill>
      </fill>
    </dxf>
    <dxf>
      <fill>
        <patternFill patternType="lightUp">
          <fgColor rgb="FFFF0000"/>
        </patternFill>
      </fill>
    </dxf>
    <dxf>
      <fill>
        <patternFill>
          <bgColor theme="6" tint="0.59996337778862885"/>
        </patternFill>
      </fill>
    </dxf>
    <dxf>
      <font>
        <b/>
        <i val="0"/>
        <color theme="0"/>
      </font>
      <fill>
        <patternFill patternType="gray125">
          <bgColor rgb="FF7030A0"/>
        </patternFill>
      </fill>
    </dxf>
    <dxf>
      <fill>
        <patternFill>
          <bgColor rgb="FFFF0000"/>
        </patternFill>
      </fill>
    </dxf>
    <dxf>
      <fill>
        <patternFill patternType="lightUp">
          <fgColor rgb="FFFF0000"/>
        </patternFill>
      </fill>
    </dxf>
    <dxf>
      <fill>
        <patternFill>
          <bgColor rgb="FFBE9EE2"/>
        </patternFill>
      </fill>
    </dxf>
    <dxf>
      <fill>
        <patternFill>
          <bgColor rgb="FFB4FAC6"/>
        </patternFill>
      </fill>
    </dxf>
    <dxf>
      <fill>
        <patternFill>
          <bgColor theme="3" tint="0.79998168889431442"/>
        </patternFill>
      </fill>
    </dxf>
    <dxf>
      <fill>
        <patternFill>
          <bgColor theme="0" tint="-0.14996795556505021"/>
        </patternFill>
      </fill>
    </dxf>
    <dxf>
      <fill>
        <patternFill>
          <bgColor theme="9" tint="0.59996337778862885"/>
        </patternFill>
      </fill>
    </dxf>
    <dxf>
      <fill>
        <patternFill>
          <bgColor rgb="FFFFE1FF"/>
        </patternFill>
      </fill>
    </dxf>
    <dxf>
      <fill>
        <patternFill>
          <bgColor rgb="FFE7ABCA"/>
        </patternFill>
      </fill>
    </dxf>
    <dxf>
      <fill>
        <patternFill patternType="lightUp">
          <fgColor rgb="FFFF0000"/>
        </patternFill>
      </fill>
    </dxf>
    <dxf>
      <fill>
        <patternFill>
          <bgColor rgb="FFFF0000"/>
        </patternFill>
      </fill>
    </dxf>
    <dxf>
      <fill>
        <patternFill>
          <bgColor rgb="FFFF66FF"/>
        </patternFill>
      </fill>
    </dxf>
    <dxf>
      <fill>
        <patternFill>
          <bgColor rgb="FFFF66FF"/>
        </patternFill>
      </fill>
    </dxf>
    <dxf>
      <fill>
        <patternFill>
          <bgColor rgb="FFFFCCFF"/>
        </patternFill>
      </fill>
    </dxf>
    <dxf>
      <fill>
        <patternFill>
          <bgColor rgb="FFFFCCFF"/>
        </patternFill>
      </fill>
    </dxf>
    <dxf>
      <fill>
        <patternFill>
          <bgColor rgb="FFFF0000"/>
        </patternFill>
      </fill>
    </dxf>
    <dxf>
      <fill>
        <patternFill>
          <bgColor rgb="FFFF0000"/>
        </patternFill>
      </fill>
    </dxf>
    <dxf>
      <fill>
        <patternFill patternType="lightUp">
          <fgColor rgb="FFFF0000"/>
        </patternFill>
      </fill>
    </dxf>
    <dxf>
      <fill>
        <patternFill patternType="lightUp">
          <fgColor rgb="FFFF0000"/>
        </patternFill>
      </fill>
    </dxf>
    <dxf>
      <fill>
        <patternFill>
          <bgColor theme="6" tint="0.59996337778862885"/>
        </patternFill>
      </fill>
    </dxf>
    <dxf>
      <font>
        <b/>
        <i val="0"/>
        <color theme="0"/>
      </font>
      <fill>
        <patternFill patternType="gray125">
          <bgColor rgb="FF7030A0"/>
        </patternFill>
      </fill>
    </dxf>
    <dxf>
      <fill>
        <patternFill>
          <bgColor rgb="FFFF0000"/>
        </patternFill>
      </fill>
    </dxf>
    <dxf>
      <fill>
        <patternFill patternType="lightUp">
          <fgColor rgb="FFFF0000"/>
        </patternFill>
      </fill>
    </dxf>
    <dxf>
      <fill>
        <patternFill>
          <bgColor rgb="FFBE9EE2"/>
        </patternFill>
      </fill>
    </dxf>
    <dxf>
      <fill>
        <patternFill>
          <bgColor rgb="FFB4FAC6"/>
        </patternFill>
      </fill>
    </dxf>
    <dxf>
      <fill>
        <patternFill>
          <bgColor theme="3" tint="0.79998168889431442"/>
        </patternFill>
      </fill>
    </dxf>
    <dxf>
      <fill>
        <patternFill>
          <bgColor theme="0" tint="-0.14996795556505021"/>
        </patternFill>
      </fill>
    </dxf>
    <dxf>
      <fill>
        <patternFill>
          <bgColor theme="9" tint="0.59996337778862885"/>
        </patternFill>
      </fill>
    </dxf>
    <dxf>
      <fill>
        <patternFill>
          <bgColor rgb="FFFFE1FF"/>
        </patternFill>
      </fill>
    </dxf>
    <dxf>
      <fill>
        <patternFill>
          <bgColor rgb="FFE7ABCA"/>
        </patternFill>
      </fill>
    </dxf>
    <dxf>
      <fill>
        <patternFill patternType="lightUp">
          <fgColor rgb="FFFF0000"/>
        </patternFill>
      </fill>
    </dxf>
    <dxf>
      <fill>
        <patternFill>
          <bgColor rgb="FFFF0000"/>
        </patternFill>
      </fill>
    </dxf>
    <dxf>
      <fill>
        <patternFill>
          <bgColor rgb="FFFF66FF"/>
        </patternFill>
      </fill>
    </dxf>
    <dxf>
      <fill>
        <patternFill>
          <bgColor rgb="FFFF66FF"/>
        </patternFill>
      </fill>
    </dxf>
    <dxf>
      <fill>
        <patternFill>
          <bgColor rgb="FFFFCCFF"/>
        </patternFill>
      </fill>
    </dxf>
    <dxf>
      <fill>
        <patternFill>
          <bgColor rgb="FFFFCCFF"/>
        </patternFill>
      </fill>
    </dxf>
    <dxf>
      <fill>
        <patternFill>
          <bgColor rgb="FFFF0000"/>
        </patternFill>
      </fill>
    </dxf>
    <dxf>
      <fill>
        <patternFill>
          <bgColor rgb="FFFF0000"/>
        </patternFill>
      </fill>
    </dxf>
    <dxf>
      <fill>
        <patternFill patternType="lightUp">
          <fgColor rgb="FFFF0000"/>
        </patternFill>
      </fill>
    </dxf>
    <dxf>
      <fill>
        <patternFill patternType="lightUp">
          <fgColor rgb="FFFF0000"/>
        </patternFill>
      </fill>
    </dxf>
    <dxf>
      <fill>
        <patternFill>
          <bgColor theme="6" tint="0.59996337778862885"/>
        </patternFill>
      </fill>
    </dxf>
    <dxf>
      <font>
        <b/>
        <i val="0"/>
        <color theme="0"/>
      </font>
      <fill>
        <patternFill patternType="gray125">
          <bgColor rgb="FF7030A0"/>
        </patternFill>
      </fill>
    </dxf>
    <dxf>
      <fill>
        <patternFill>
          <bgColor rgb="FFFF0000"/>
        </patternFill>
      </fill>
    </dxf>
    <dxf>
      <fill>
        <patternFill patternType="lightUp">
          <fgColor rgb="FFFF0000"/>
        </patternFill>
      </fill>
    </dxf>
    <dxf>
      <fill>
        <patternFill patternType="lightUp">
          <fgColor rgb="FFFF0000"/>
        </patternFill>
      </fill>
    </dxf>
    <dxf>
      <fill>
        <patternFill>
          <bgColor rgb="FFBE9EE2"/>
        </patternFill>
      </fill>
    </dxf>
    <dxf>
      <fill>
        <patternFill>
          <bgColor rgb="FFB4FAC6"/>
        </patternFill>
      </fill>
    </dxf>
    <dxf>
      <fill>
        <patternFill>
          <bgColor theme="3" tint="0.79998168889431442"/>
        </patternFill>
      </fill>
    </dxf>
    <dxf>
      <fill>
        <patternFill>
          <bgColor theme="0" tint="-0.14996795556505021"/>
        </patternFill>
      </fill>
    </dxf>
    <dxf>
      <fill>
        <patternFill>
          <bgColor theme="9" tint="0.59996337778862885"/>
        </patternFill>
      </fill>
    </dxf>
    <dxf>
      <fill>
        <patternFill>
          <bgColor rgb="FFFFE1FF"/>
        </patternFill>
      </fill>
    </dxf>
    <dxf>
      <fill>
        <patternFill>
          <bgColor rgb="FFE7ABCA"/>
        </patternFill>
      </fill>
    </dxf>
    <dxf>
      <fill>
        <patternFill patternType="lightUp">
          <fgColor rgb="FFFF0000"/>
        </patternFill>
      </fill>
    </dxf>
    <dxf>
      <fill>
        <patternFill>
          <bgColor rgb="FFFF0000"/>
        </patternFill>
      </fill>
    </dxf>
    <dxf>
      <fill>
        <patternFill>
          <bgColor rgb="FFFF66FF"/>
        </patternFill>
      </fill>
    </dxf>
    <dxf>
      <fill>
        <patternFill>
          <bgColor rgb="FFFF66FF"/>
        </patternFill>
      </fill>
    </dxf>
    <dxf>
      <fill>
        <patternFill>
          <bgColor rgb="FFFFCCFF"/>
        </patternFill>
      </fill>
    </dxf>
    <dxf>
      <fill>
        <patternFill>
          <bgColor rgb="FFFFCCFF"/>
        </patternFill>
      </fill>
    </dxf>
    <dxf>
      <fill>
        <patternFill>
          <bgColor rgb="FFFF0000"/>
        </patternFill>
      </fill>
    </dxf>
    <dxf>
      <fill>
        <patternFill>
          <bgColor rgb="FFFF0000"/>
        </patternFill>
      </fill>
    </dxf>
    <dxf>
      <fill>
        <patternFill patternType="lightUp">
          <fgColor rgb="FFFF0000"/>
        </patternFill>
      </fill>
    </dxf>
    <dxf>
      <fill>
        <patternFill patternType="lightUp">
          <fgColor rgb="FFFF0000"/>
        </patternFill>
      </fill>
    </dxf>
    <dxf>
      <fill>
        <patternFill>
          <bgColor theme="6" tint="0.59996337778862885"/>
        </patternFill>
      </fill>
    </dxf>
    <dxf>
      <font>
        <b/>
        <i val="0"/>
        <color theme="0"/>
      </font>
      <fill>
        <patternFill patternType="gray125">
          <bgColor rgb="FF7030A0"/>
        </patternFill>
      </fill>
    </dxf>
    <dxf>
      <fill>
        <patternFill>
          <bgColor rgb="FFFF0000"/>
        </patternFill>
      </fill>
    </dxf>
    <dxf>
      <fill>
        <patternFill patternType="lightUp">
          <fgColor rgb="FFFF0000"/>
        </patternFill>
      </fill>
    </dxf>
    <dxf>
      <fill>
        <patternFill>
          <bgColor rgb="FFBE9EE2"/>
        </patternFill>
      </fill>
    </dxf>
    <dxf>
      <fill>
        <patternFill>
          <bgColor rgb="FFB4FAC6"/>
        </patternFill>
      </fill>
    </dxf>
    <dxf>
      <fill>
        <patternFill>
          <bgColor theme="3" tint="0.79998168889431442"/>
        </patternFill>
      </fill>
    </dxf>
    <dxf>
      <fill>
        <patternFill>
          <bgColor theme="0" tint="-0.14996795556505021"/>
        </patternFill>
      </fill>
    </dxf>
    <dxf>
      <fill>
        <patternFill>
          <bgColor theme="9" tint="0.59996337778862885"/>
        </patternFill>
      </fill>
    </dxf>
    <dxf>
      <fill>
        <patternFill>
          <bgColor rgb="FFFFE1FF"/>
        </patternFill>
      </fill>
    </dxf>
    <dxf>
      <fill>
        <patternFill>
          <bgColor rgb="FFE7ABCA"/>
        </patternFill>
      </fill>
    </dxf>
    <dxf>
      <fill>
        <patternFill patternType="lightUp">
          <fgColor rgb="FFFF0000"/>
        </patternFill>
      </fill>
    </dxf>
    <dxf>
      <fill>
        <patternFill>
          <bgColor rgb="FFFF0000"/>
        </patternFill>
      </fill>
    </dxf>
    <dxf>
      <fill>
        <patternFill>
          <bgColor rgb="FFFF66FF"/>
        </patternFill>
      </fill>
    </dxf>
    <dxf>
      <fill>
        <patternFill>
          <bgColor rgb="FFFF66FF"/>
        </patternFill>
      </fill>
    </dxf>
    <dxf>
      <fill>
        <patternFill>
          <bgColor rgb="FFFFCCFF"/>
        </patternFill>
      </fill>
    </dxf>
    <dxf>
      <fill>
        <patternFill>
          <bgColor rgb="FFFFCCFF"/>
        </patternFill>
      </fill>
    </dxf>
    <dxf>
      <fill>
        <patternFill>
          <bgColor rgb="FFFF0000"/>
        </patternFill>
      </fill>
    </dxf>
    <dxf>
      <fill>
        <patternFill>
          <bgColor rgb="FFFF0000"/>
        </patternFill>
      </fill>
    </dxf>
    <dxf>
      <fill>
        <patternFill patternType="lightUp">
          <fgColor rgb="FFFF0000"/>
        </patternFill>
      </fill>
    </dxf>
    <dxf>
      <fill>
        <patternFill patternType="lightUp">
          <fgColor rgb="FFFF0000"/>
        </patternFill>
      </fill>
    </dxf>
    <dxf>
      <fill>
        <patternFill>
          <bgColor theme="6" tint="0.59996337778862885"/>
        </patternFill>
      </fill>
    </dxf>
    <dxf>
      <font>
        <b/>
        <i val="0"/>
        <color theme="0"/>
      </font>
      <fill>
        <patternFill patternType="gray125">
          <bgColor rgb="FF7030A0"/>
        </patternFill>
      </fill>
    </dxf>
    <dxf>
      <fill>
        <patternFill>
          <bgColor rgb="FFFF0000"/>
        </patternFill>
      </fill>
    </dxf>
    <dxf>
      <fill>
        <patternFill patternType="lightUp">
          <fgColor rgb="FFFF0000"/>
        </patternFill>
      </fill>
    </dxf>
    <dxf>
      <fill>
        <patternFill>
          <bgColor rgb="FFBE9EE2"/>
        </patternFill>
      </fill>
    </dxf>
    <dxf>
      <fill>
        <patternFill>
          <bgColor rgb="FFB4FAC6"/>
        </patternFill>
      </fill>
    </dxf>
    <dxf>
      <fill>
        <patternFill>
          <bgColor theme="3" tint="0.79998168889431442"/>
        </patternFill>
      </fill>
    </dxf>
    <dxf>
      <fill>
        <patternFill>
          <bgColor theme="0" tint="-0.14996795556505021"/>
        </patternFill>
      </fill>
    </dxf>
    <dxf>
      <fill>
        <patternFill>
          <bgColor theme="9" tint="0.59996337778862885"/>
        </patternFill>
      </fill>
    </dxf>
    <dxf>
      <fill>
        <patternFill>
          <bgColor rgb="FFFFE1FF"/>
        </patternFill>
      </fill>
    </dxf>
    <dxf>
      <fill>
        <patternFill>
          <bgColor rgb="FFE7ABCA"/>
        </patternFill>
      </fill>
    </dxf>
    <dxf>
      <fill>
        <patternFill patternType="lightUp">
          <fgColor rgb="FFFF0000"/>
        </patternFill>
      </fill>
    </dxf>
    <dxf>
      <fill>
        <patternFill>
          <bgColor rgb="FFFF0000"/>
        </patternFill>
      </fill>
    </dxf>
    <dxf>
      <fill>
        <patternFill>
          <bgColor rgb="FFFF66FF"/>
        </patternFill>
      </fill>
    </dxf>
    <dxf>
      <fill>
        <patternFill>
          <bgColor rgb="FFFF66FF"/>
        </patternFill>
      </fill>
    </dxf>
    <dxf>
      <fill>
        <patternFill>
          <bgColor rgb="FFFFCCFF"/>
        </patternFill>
      </fill>
    </dxf>
    <dxf>
      <fill>
        <patternFill>
          <bgColor rgb="FFFFCCFF"/>
        </patternFill>
      </fill>
    </dxf>
    <dxf>
      <fill>
        <patternFill>
          <bgColor rgb="FFFF0000"/>
        </patternFill>
      </fill>
    </dxf>
    <dxf>
      <fill>
        <patternFill>
          <bgColor rgb="FFFF0000"/>
        </patternFill>
      </fill>
    </dxf>
    <dxf>
      <fill>
        <patternFill patternType="lightUp">
          <fgColor rgb="FFFF0000"/>
        </patternFill>
      </fill>
    </dxf>
    <dxf>
      <fill>
        <patternFill patternType="lightUp">
          <fgColor rgb="FFFF0000"/>
        </patternFill>
      </fill>
    </dxf>
    <dxf>
      <fill>
        <patternFill>
          <bgColor theme="6" tint="0.59996337778862885"/>
        </patternFill>
      </fill>
    </dxf>
    <dxf>
      <font>
        <b/>
        <i val="0"/>
        <color theme="0"/>
      </font>
      <fill>
        <patternFill patternType="gray125">
          <bgColor rgb="FF7030A0"/>
        </patternFill>
      </fill>
    </dxf>
    <dxf>
      <fill>
        <patternFill>
          <bgColor rgb="FFFF0000"/>
        </patternFill>
      </fill>
    </dxf>
    <dxf>
      <fill>
        <patternFill patternType="lightUp">
          <fgColor rgb="FFFF0000"/>
        </patternFill>
      </fill>
    </dxf>
    <dxf>
      <fill>
        <patternFill>
          <bgColor rgb="FFBE9EE2"/>
        </patternFill>
      </fill>
    </dxf>
    <dxf>
      <fill>
        <patternFill>
          <bgColor rgb="FFB4FAC6"/>
        </patternFill>
      </fill>
    </dxf>
    <dxf>
      <fill>
        <patternFill>
          <bgColor theme="3" tint="0.79998168889431442"/>
        </patternFill>
      </fill>
    </dxf>
    <dxf>
      <fill>
        <patternFill>
          <bgColor theme="0" tint="-0.14996795556505021"/>
        </patternFill>
      </fill>
    </dxf>
    <dxf>
      <fill>
        <patternFill>
          <bgColor theme="9" tint="0.59996337778862885"/>
        </patternFill>
      </fill>
    </dxf>
    <dxf>
      <fill>
        <patternFill>
          <bgColor rgb="FFFFE1FF"/>
        </patternFill>
      </fill>
    </dxf>
    <dxf>
      <fill>
        <patternFill>
          <bgColor rgb="FFE7ABCA"/>
        </patternFill>
      </fill>
    </dxf>
    <dxf>
      <fill>
        <patternFill patternType="lightUp">
          <fgColor rgb="FFFF0000"/>
        </patternFill>
      </fill>
    </dxf>
    <dxf>
      <fill>
        <patternFill>
          <bgColor rgb="FFFF0000"/>
        </patternFill>
      </fill>
    </dxf>
    <dxf>
      <fill>
        <patternFill>
          <bgColor rgb="FFFF66FF"/>
        </patternFill>
      </fill>
    </dxf>
    <dxf>
      <fill>
        <patternFill>
          <bgColor rgb="FFFF66FF"/>
        </patternFill>
      </fill>
    </dxf>
    <dxf>
      <fill>
        <patternFill>
          <bgColor rgb="FFFFCCFF"/>
        </patternFill>
      </fill>
    </dxf>
    <dxf>
      <fill>
        <patternFill>
          <bgColor rgb="FFFFCCFF"/>
        </patternFill>
      </fill>
    </dxf>
    <dxf>
      <fill>
        <patternFill>
          <bgColor rgb="FFFF0000"/>
        </patternFill>
      </fill>
    </dxf>
    <dxf>
      <fill>
        <patternFill>
          <bgColor rgb="FFFF0000"/>
        </patternFill>
      </fill>
    </dxf>
    <dxf>
      <fill>
        <patternFill patternType="lightUp">
          <fgColor rgb="FFFF0000"/>
        </patternFill>
      </fill>
    </dxf>
    <dxf>
      <fill>
        <patternFill patternType="lightUp">
          <fgColor rgb="FFFF0000"/>
        </patternFill>
      </fill>
    </dxf>
    <dxf>
      <fill>
        <patternFill>
          <bgColor theme="6" tint="0.59996337778862885"/>
        </patternFill>
      </fill>
    </dxf>
    <dxf>
      <fill>
        <patternFill patternType="lightUp">
          <fgColor rgb="FFFF0000"/>
        </patternFill>
      </fill>
    </dxf>
    <dxf>
      <font>
        <b/>
        <i val="0"/>
        <color theme="0"/>
      </font>
      <fill>
        <patternFill patternType="gray125">
          <bgColor rgb="FF7030A0"/>
        </patternFill>
      </fill>
    </dxf>
    <dxf>
      <fill>
        <patternFill>
          <bgColor rgb="FFFF0000"/>
        </patternFill>
      </fill>
    </dxf>
    <dxf>
      <fill>
        <patternFill patternType="lightUp">
          <fgColor rgb="FFFF0000"/>
        </patternFill>
      </fill>
    </dxf>
    <dxf>
      <fill>
        <patternFill>
          <bgColor rgb="FFBE9EE2"/>
        </patternFill>
      </fill>
    </dxf>
    <dxf>
      <fill>
        <patternFill>
          <bgColor rgb="FFB4FAC6"/>
        </patternFill>
      </fill>
    </dxf>
    <dxf>
      <fill>
        <patternFill>
          <bgColor theme="3" tint="0.79998168889431442"/>
        </patternFill>
      </fill>
    </dxf>
    <dxf>
      <fill>
        <patternFill>
          <bgColor theme="0" tint="-0.14996795556505021"/>
        </patternFill>
      </fill>
    </dxf>
    <dxf>
      <fill>
        <patternFill>
          <bgColor theme="9" tint="0.59996337778862885"/>
        </patternFill>
      </fill>
    </dxf>
    <dxf>
      <fill>
        <patternFill>
          <bgColor rgb="FFFFE1FF"/>
        </patternFill>
      </fill>
    </dxf>
    <dxf>
      <fill>
        <patternFill>
          <bgColor rgb="FFE7ABCA"/>
        </patternFill>
      </fill>
    </dxf>
    <dxf>
      <fill>
        <patternFill patternType="lightUp">
          <fgColor rgb="FFFF0000"/>
        </patternFill>
      </fill>
    </dxf>
    <dxf>
      <fill>
        <patternFill>
          <bgColor rgb="FFFF0000"/>
        </patternFill>
      </fill>
    </dxf>
    <dxf>
      <fill>
        <patternFill>
          <bgColor rgb="FFFF66FF"/>
        </patternFill>
      </fill>
    </dxf>
    <dxf>
      <fill>
        <patternFill>
          <bgColor rgb="FFFF66FF"/>
        </patternFill>
      </fill>
    </dxf>
    <dxf>
      <fill>
        <patternFill>
          <bgColor rgb="FFFFCCFF"/>
        </patternFill>
      </fill>
    </dxf>
    <dxf>
      <fill>
        <patternFill>
          <bgColor rgb="FFFFCCFF"/>
        </patternFill>
      </fill>
    </dxf>
    <dxf>
      <fill>
        <patternFill>
          <bgColor rgb="FFFF0000"/>
        </patternFill>
      </fill>
    </dxf>
    <dxf>
      <fill>
        <patternFill>
          <bgColor rgb="FFFF0000"/>
        </patternFill>
      </fill>
    </dxf>
    <dxf>
      <fill>
        <patternFill patternType="lightUp">
          <fgColor rgb="FFFF0000"/>
        </patternFill>
      </fill>
    </dxf>
    <dxf>
      <fill>
        <patternFill patternType="lightUp">
          <fgColor rgb="FFFF0000"/>
        </patternFill>
      </fill>
    </dxf>
    <dxf>
      <fill>
        <patternFill>
          <bgColor theme="6" tint="0.59996337778862885"/>
        </patternFill>
      </fill>
    </dxf>
    <dxf>
      <font>
        <b/>
        <i val="0"/>
        <color theme="0"/>
      </font>
      <fill>
        <patternFill patternType="gray125">
          <bgColor rgb="FF7030A0"/>
        </patternFill>
      </fill>
    </dxf>
    <dxf>
      <fill>
        <patternFill>
          <bgColor rgb="FFFF0000"/>
        </patternFill>
      </fill>
    </dxf>
    <dxf>
      <fill>
        <patternFill patternType="lightUp">
          <fgColor rgb="FFFF0000"/>
        </patternFill>
      </fill>
    </dxf>
    <dxf>
      <fill>
        <patternFill>
          <bgColor rgb="FFBE9EE2"/>
        </patternFill>
      </fill>
    </dxf>
    <dxf>
      <fill>
        <patternFill>
          <bgColor rgb="FFB4FAC6"/>
        </patternFill>
      </fill>
    </dxf>
    <dxf>
      <fill>
        <patternFill>
          <bgColor theme="3" tint="0.79998168889431442"/>
        </patternFill>
      </fill>
    </dxf>
    <dxf>
      <fill>
        <patternFill>
          <bgColor theme="0" tint="-0.14996795556505021"/>
        </patternFill>
      </fill>
    </dxf>
    <dxf>
      <fill>
        <patternFill>
          <bgColor theme="9" tint="0.59996337778862885"/>
        </patternFill>
      </fill>
    </dxf>
    <dxf>
      <fill>
        <patternFill>
          <bgColor rgb="FFFFE1FF"/>
        </patternFill>
      </fill>
    </dxf>
    <dxf>
      <fill>
        <patternFill>
          <bgColor rgb="FFE7ABCA"/>
        </patternFill>
      </fill>
    </dxf>
    <dxf>
      <fill>
        <patternFill patternType="lightUp">
          <fgColor rgb="FFFF0000"/>
        </patternFill>
      </fill>
    </dxf>
    <dxf>
      <fill>
        <patternFill>
          <bgColor rgb="FFFF0000"/>
        </patternFill>
      </fill>
    </dxf>
    <dxf>
      <fill>
        <patternFill>
          <bgColor rgb="FFFF66FF"/>
        </patternFill>
      </fill>
    </dxf>
    <dxf>
      <fill>
        <patternFill>
          <bgColor rgb="FFFF66FF"/>
        </patternFill>
      </fill>
    </dxf>
    <dxf>
      <fill>
        <patternFill>
          <bgColor rgb="FFFFCCFF"/>
        </patternFill>
      </fill>
    </dxf>
    <dxf>
      <fill>
        <patternFill>
          <bgColor rgb="FFFFCCFF"/>
        </patternFill>
      </fill>
    </dxf>
    <dxf>
      <fill>
        <patternFill>
          <bgColor rgb="FFFF0000"/>
        </patternFill>
      </fill>
    </dxf>
    <dxf>
      <fill>
        <patternFill>
          <bgColor rgb="FFFF0000"/>
        </patternFill>
      </fill>
    </dxf>
    <dxf>
      <fill>
        <patternFill patternType="lightUp">
          <fgColor rgb="FFFF0000"/>
        </patternFill>
      </fill>
    </dxf>
    <dxf>
      <fill>
        <patternFill patternType="lightUp">
          <fgColor rgb="FFFF0000"/>
        </patternFill>
      </fill>
    </dxf>
    <dxf>
      <fill>
        <patternFill>
          <bgColor theme="6" tint="0.59996337778862885"/>
        </patternFill>
      </fill>
    </dxf>
    <dxf>
      <font>
        <b/>
        <i val="0"/>
        <color theme="0"/>
      </font>
      <fill>
        <patternFill patternType="gray125">
          <bgColor rgb="FF7030A0"/>
        </patternFill>
      </fill>
    </dxf>
    <dxf>
      <fill>
        <patternFill>
          <bgColor rgb="FFFF0000"/>
        </patternFill>
      </fill>
    </dxf>
    <dxf>
      <fill>
        <patternFill patternType="lightUp">
          <fgColor rgb="FFFF0000"/>
        </patternFill>
      </fill>
    </dxf>
    <dxf>
      <fill>
        <patternFill patternType="lightUp">
          <fgColor rgb="FFFF0000"/>
        </patternFill>
      </fill>
    </dxf>
    <dxf>
      <fill>
        <patternFill>
          <bgColor rgb="FFBE9EE2"/>
        </patternFill>
      </fill>
    </dxf>
    <dxf>
      <fill>
        <patternFill>
          <bgColor rgb="FFB4FAC6"/>
        </patternFill>
      </fill>
    </dxf>
    <dxf>
      <fill>
        <patternFill>
          <bgColor theme="3" tint="0.79998168889431442"/>
        </patternFill>
      </fill>
    </dxf>
    <dxf>
      <fill>
        <patternFill>
          <bgColor theme="0" tint="-0.14996795556505021"/>
        </patternFill>
      </fill>
    </dxf>
    <dxf>
      <fill>
        <patternFill>
          <bgColor theme="9" tint="0.59996337778862885"/>
        </patternFill>
      </fill>
    </dxf>
    <dxf>
      <fill>
        <patternFill>
          <bgColor rgb="FFFFE1FF"/>
        </patternFill>
      </fill>
    </dxf>
    <dxf>
      <fill>
        <patternFill>
          <bgColor rgb="FFE7ABCA"/>
        </patternFill>
      </fill>
    </dxf>
    <dxf>
      <fill>
        <patternFill>
          <bgColor rgb="FFFF0000"/>
        </patternFill>
      </fill>
    </dxf>
    <dxf>
      <fill>
        <patternFill>
          <bgColor rgb="FFFF66FF"/>
        </patternFill>
      </fill>
    </dxf>
    <dxf>
      <fill>
        <patternFill>
          <bgColor rgb="FFFF66FF"/>
        </patternFill>
      </fill>
    </dxf>
    <dxf>
      <fill>
        <patternFill>
          <bgColor rgb="FFFFCCFF"/>
        </patternFill>
      </fill>
    </dxf>
    <dxf>
      <fill>
        <patternFill>
          <bgColor rgb="FFFFCCFF"/>
        </patternFill>
      </fill>
    </dxf>
    <dxf>
      <fill>
        <patternFill>
          <bgColor rgb="FFFF0000"/>
        </patternFill>
      </fill>
    </dxf>
    <dxf>
      <fill>
        <patternFill>
          <bgColor rgb="FFFF0000"/>
        </patternFill>
      </fill>
    </dxf>
    <dxf>
      <fill>
        <patternFill>
          <bgColor theme="6" tint="0.59996337778862885"/>
        </patternFill>
      </fill>
    </dxf>
    <dxf>
      <font>
        <b/>
        <i val="0"/>
        <color theme="0"/>
      </font>
      <fill>
        <patternFill patternType="gray125">
          <bgColor rgb="FF7030A0"/>
        </patternFill>
      </fill>
    </dxf>
    <dxf>
      <fill>
        <patternFill>
          <bgColor rgb="FFFF0000"/>
        </patternFill>
      </fill>
    </dxf>
    <dxf>
      <fill>
        <patternFill patternType="lightUp">
          <fgColor rgb="FFFF0000"/>
        </patternFill>
      </fill>
    </dxf>
    <dxf>
      <fill>
        <patternFill patternType="lightUp">
          <fgColor rgb="FFFF0000"/>
        </patternFill>
      </fill>
    </dxf>
    <dxf>
      <fill>
        <patternFill>
          <bgColor rgb="FFBE9EE2"/>
        </patternFill>
      </fill>
    </dxf>
    <dxf>
      <fill>
        <patternFill>
          <bgColor rgb="FFB4FAC6"/>
        </patternFill>
      </fill>
    </dxf>
    <dxf>
      <fill>
        <patternFill>
          <bgColor theme="3" tint="0.79998168889431442"/>
        </patternFill>
      </fill>
    </dxf>
    <dxf>
      <fill>
        <patternFill>
          <bgColor theme="0" tint="-0.14996795556505021"/>
        </patternFill>
      </fill>
    </dxf>
    <dxf>
      <fill>
        <patternFill>
          <bgColor theme="9" tint="0.59996337778862885"/>
        </patternFill>
      </fill>
    </dxf>
    <dxf>
      <fill>
        <patternFill>
          <bgColor rgb="FFFFE1FF"/>
        </patternFill>
      </fill>
    </dxf>
    <dxf>
      <fill>
        <patternFill>
          <bgColor rgb="FFE7ABCA"/>
        </patternFill>
      </fill>
    </dxf>
    <dxf>
      <fill>
        <patternFill>
          <bgColor rgb="FFFF0000"/>
        </patternFill>
      </fill>
    </dxf>
    <dxf>
      <fill>
        <patternFill>
          <bgColor rgb="FFFF66FF"/>
        </patternFill>
      </fill>
    </dxf>
    <dxf>
      <fill>
        <patternFill>
          <bgColor rgb="FFFF66FF"/>
        </patternFill>
      </fill>
    </dxf>
    <dxf>
      <fill>
        <patternFill>
          <bgColor rgb="FFFFCCFF"/>
        </patternFill>
      </fill>
    </dxf>
    <dxf>
      <fill>
        <patternFill>
          <bgColor rgb="FFFFCCFF"/>
        </patternFill>
      </fill>
    </dxf>
    <dxf>
      <fill>
        <patternFill>
          <bgColor rgb="FFFF0000"/>
        </patternFill>
      </fill>
    </dxf>
    <dxf>
      <fill>
        <patternFill>
          <bgColor rgb="FFFF0000"/>
        </patternFill>
      </fill>
    </dxf>
    <dxf>
      <fill>
        <patternFill patternType="lightUp">
          <fgColor rgb="FFFF0000"/>
        </patternFill>
      </fill>
    </dxf>
    <dxf>
      <fill>
        <patternFill>
          <bgColor theme="6" tint="0.59996337778862885"/>
        </patternFill>
      </fill>
    </dxf>
    <dxf>
      <fill>
        <patternFill patternType="lightUp">
          <fgColor rgb="FFFF0000"/>
        </patternFill>
      </fill>
    </dxf>
    <dxf>
      <font>
        <b/>
        <i val="0"/>
        <color theme="0"/>
      </font>
      <fill>
        <patternFill patternType="gray125">
          <bgColor rgb="FF7030A0"/>
        </patternFill>
      </fill>
    </dxf>
    <dxf>
      <fill>
        <patternFill>
          <bgColor rgb="FFFF0000"/>
        </patternFill>
      </fill>
    </dxf>
    <dxf>
      <fill>
        <patternFill>
          <bgColor rgb="FFBE9EE2"/>
        </patternFill>
      </fill>
    </dxf>
    <dxf>
      <fill>
        <patternFill>
          <bgColor rgb="FFB4FAC6"/>
        </patternFill>
      </fill>
    </dxf>
    <dxf>
      <fill>
        <patternFill>
          <bgColor theme="3" tint="0.79998168889431442"/>
        </patternFill>
      </fill>
    </dxf>
    <dxf>
      <fill>
        <patternFill>
          <bgColor theme="0" tint="-0.14996795556505021"/>
        </patternFill>
      </fill>
    </dxf>
    <dxf>
      <fill>
        <patternFill>
          <bgColor theme="9" tint="0.59996337778862885"/>
        </patternFill>
      </fill>
    </dxf>
    <dxf>
      <fill>
        <patternFill>
          <bgColor rgb="FFFFE1FF"/>
        </patternFill>
      </fill>
    </dxf>
    <dxf>
      <fill>
        <patternFill>
          <bgColor rgb="FFE7ABCA"/>
        </patternFill>
      </fill>
    </dxf>
    <dxf>
      <fill>
        <patternFill patternType="lightUp">
          <fgColor rgb="FFFF0000"/>
        </patternFill>
      </fill>
    </dxf>
    <dxf>
      <fill>
        <patternFill>
          <bgColor rgb="FFFF0000"/>
        </patternFill>
      </fill>
    </dxf>
    <dxf>
      <fill>
        <patternFill>
          <bgColor rgb="FFFF66FF"/>
        </patternFill>
      </fill>
    </dxf>
    <dxf>
      <fill>
        <patternFill>
          <bgColor rgb="FFFF66FF"/>
        </patternFill>
      </fill>
    </dxf>
    <dxf>
      <fill>
        <patternFill>
          <bgColor rgb="FFFFCCFF"/>
        </patternFill>
      </fill>
    </dxf>
    <dxf>
      <fill>
        <patternFill>
          <bgColor rgb="FFFFCCFF"/>
        </patternFill>
      </fill>
    </dxf>
    <dxf>
      <fill>
        <patternFill>
          <bgColor rgb="FFFF0000"/>
        </patternFill>
      </fill>
    </dxf>
    <dxf>
      <fill>
        <patternFill>
          <bgColor rgb="FFFF0000"/>
        </patternFill>
      </fill>
    </dxf>
    <dxf>
      <fill>
        <patternFill patternType="lightUp">
          <fgColor rgb="FFFF0000"/>
        </patternFill>
      </fill>
    </dxf>
    <dxf>
      <fill>
        <patternFill patternType="lightUp">
          <f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b/>
        <i val="0"/>
        <color rgb="FFFF0000"/>
      </font>
    </dxf>
    <dxf>
      <font>
        <b/>
        <i val="0"/>
        <color rgb="FFFF0000"/>
      </font>
    </dxf>
    <dxf>
      <font>
        <b/>
        <i val="0"/>
        <color rgb="FFFF0000"/>
      </font>
    </dxf>
    <dxf>
      <font>
        <b/>
        <i val="0"/>
        <color rgb="FFFF0000"/>
      </font>
    </dxf>
    <dxf>
      <font>
        <b/>
        <i val="0"/>
        <color rgb="FFFF0000"/>
      </font>
    </dxf>
    <dxf>
      <numFmt numFmtId="0" formatCode="General"/>
      <alignment horizontal="right" vertical="bottom" textRotation="0" wrapText="0" indent="0" justifyLastLine="0" shrinkToFit="0" readingOrder="0"/>
    </dxf>
    <dxf>
      <numFmt numFmtId="0" formatCode="General"/>
      <alignment horizontal="right" vertical="bottom" textRotation="0" wrapText="0" indent="0" justifyLastLine="0" shrinkToFit="0" readingOrder="0"/>
    </dxf>
    <dxf>
      <numFmt numFmtId="0" formatCode="General"/>
      <alignment horizontal="right" vertical="bottom" textRotation="0" wrapText="0" indent="0" justifyLastLine="0" shrinkToFit="0" readingOrder="0"/>
    </dxf>
    <dxf>
      <numFmt numFmtId="19" formatCode="yyyy/mm/dd"/>
      <alignment horizontal="right" vertical="bottom" textRotation="0" wrapText="0" indent="0" justifyLastLine="0" shrinkToFit="0" readingOrder="0"/>
    </dxf>
    <dxf>
      <numFmt numFmtId="0" formatCode="Genera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solid">
          <fgColor indexed="64"/>
          <bgColor rgb="FFFF0000"/>
        </patternFill>
      </fill>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0"/>
        <name val="Calibri"/>
        <scheme val="minor"/>
      </font>
    </dxf>
    <dxf>
      <numFmt numFmtId="0" formatCode="Genera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0" formatCode="Genera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0" formatCode="Genera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9" formatCode="yyyy/mm/dd"/>
      <alignment horizontal="right" vertical="bottom" textRotation="0" wrapText="0" indent="0" justifyLastLine="0" shrinkToFit="0" readingOrder="0"/>
    </dxf>
    <dxf>
      <numFmt numFmtId="0" formatCode="General"/>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auto="1"/>
        <name val="Calibri"/>
        <scheme val="minor"/>
      </font>
    </dxf>
    <dxf>
      <font>
        <b val="0"/>
        <i val="0"/>
        <strike val="0"/>
        <condense val="0"/>
        <extend val="0"/>
        <outline val="0"/>
        <shadow val="0"/>
        <u val="none"/>
        <vertAlign val="baseline"/>
        <sz val="11"/>
        <color auto="1"/>
        <name val="Calibri"/>
        <scheme val="minor"/>
      </font>
      <fill>
        <patternFill patternType="solid">
          <fgColor indexed="64"/>
          <bgColor rgb="FFFF000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dxf>
    <dxf>
      <border>
        <bottom style="thick">
          <color theme="0"/>
        </bottom>
      </border>
    </dxf>
    <dxf>
      <font>
        <b val="0"/>
        <i val="0"/>
        <strike val="0"/>
        <condense val="0"/>
        <extend val="0"/>
        <outline val="0"/>
        <shadow val="0"/>
        <u val="none"/>
        <vertAlign val="baseline"/>
        <sz val="11"/>
        <color theme="0"/>
        <name val="Calibri"/>
        <scheme val="minor"/>
      </font>
    </dxf>
    <dxf>
      <numFmt numFmtId="0" formatCode="Genera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0" formatCode="Genera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0" formatCode="Genera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9" formatCode="yyyy/mm/dd"/>
      <alignment horizontal="right" vertical="bottom" textRotation="0" wrapText="0" indent="0" justifyLastLine="0" shrinkToFit="0" readingOrder="0"/>
    </dxf>
    <dxf>
      <numFmt numFmtId="0" formatCode="Genera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dxf>
    <dxf>
      <font>
        <b val="0"/>
        <i val="0"/>
        <strike val="0"/>
        <condense val="0"/>
        <extend val="0"/>
        <outline val="0"/>
        <shadow val="0"/>
        <u val="none"/>
        <vertAlign val="baseline"/>
        <sz val="11"/>
        <color auto="1"/>
        <name val="Calibri"/>
        <scheme val="minor"/>
      </font>
      <border diagonalUp="0" diagonalDown="0">
        <left style="thin">
          <color theme="0"/>
        </left>
        <right style="thin">
          <color theme="0"/>
        </right>
        <top style="thin">
          <color auto="1"/>
        </top>
        <bottom style="thin">
          <color auto="1"/>
        </bottom>
        <vertical/>
        <horizontal style="thin">
          <color auto="1"/>
        </horizontal>
      </border>
    </dxf>
    <dxf>
      <font>
        <b val="0"/>
        <i val="0"/>
        <strike val="0"/>
        <condense val="0"/>
        <extend val="0"/>
        <outline val="0"/>
        <shadow val="0"/>
        <u val="none"/>
        <vertAlign val="baseline"/>
        <sz val="11"/>
        <color auto="1"/>
        <name val="Calibri"/>
        <scheme val="minor"/>
      </font>
    </dxf>
    <dxf>
      <border>
        <bottom style="thick">
          <color theme="0"/>
        </bottom>
      </border>
    </dxf>
    <dxf>
      <font>
        <b val="0"/>
        <i val="0"/>
        <strike val="0"/>
        <condense val="0"/>
        <extend val="0"/>
        <outline val="0"/>
        <shadow val="0"/>
        <u val="none"/>
        <vertAlign val="baseline"/>
        <sz val="11"/>
        <color theme="0"/>
        <name val="Calibri"/>
        <scheme val="minor"/>
      </font>
    </dxf>
    <dxf>
      <numFmt numFmtId="0" formatCode="Genera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0" formatCode="Genera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0" formatCode="Genera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9" formatCode="yyyy/mm/dd"/>
      <alignment horizontal="right" vertical="bottom" textRotation="0" wrapText="0" indent="0" justifyLastLine="0" shrinkToFit="0" readingOrder="0"/>
    </dxf>
    <dxf>
      <numFmt numFmtId="0" formatCode="General"/>
      <alignment horizontal="right" vertical="bottom" textRotation="0" wrapText="0" indent="0" justifyLastLine="0" shrinkToFit="0" readingOrder="0"/>
    </dxf>
    <dxf>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dxf>
    <dxf>
      <font>
        <b val="0"/>
        <i val="0"/>
        <strike val="0"/>
        <condense val="0"/>
        <extend val="0"/>
        <outline val="0"/>
        <shadow val="0"/>
        <u val="none"/>
        <vertAlign val="baseline"/>
        <sz val="11"/>
        <color auto="1"/>
        <name val="Calibri"/>
        <scheme val="minor"/>
      </font>
      <fill>
        <patternFill patternType="solid">
          <fgColor indexed="64"/>
          <bgColor rgb="FFFF66FF"/>
        </patternFill>
      </fill>
      <alignment horizontal="center" vertical="bottom" textRotation="0" wrapText="0" indent="0" justifyLastLine="0" shrinkToFit="0" readingOrder="0"/>
      <border diagonalUp="0" diagonalDown="0">
        <left/>
        <right style="thin">
          <color theme="0"/>
        </right>
        <top/>
        <bottom/>
        <vertical/>
        <horizontal/>
      </border>
    </dxf>
    <dxf>
      <font>
        <b val="0"/>
        <i val="0"/>
        <strike val="0"/>
        <condense val="0"/>
        <extend val="0"/>
        <outline val="0"/>
        <shadow val="0"/>
        <u val="none"/>
        <vertAlign val="baseline"/>
        <sz val="11"/>
        <color auto="1"/>
        <name val="Calibri"/>
        <scheme val="minor"/>
      </font>
    </dxf>
    <dxf>
      <border>
        <bottom style="thick">
          <color theme="0"/>
        </bottom>
      </border>
    </dxf>
    <dxf>
      <font>
        <b val="0"/>
        <i val="0"/>
        <strike val="0"/>
        <condense val="0"/>
        <extend val="0"/>
        <outline val="0"/>
        <shadow val="0"/>
        <u val="none"/>
        <vertAlign val="baseline"/>
        <sz val="11"/>
        <color theme="0"/>
        <name val="Calibri"/>
        <scheme val="minor"/>
      </font>
    </dxf>
  </dxfs>
  <tableStyles count="0" defaultTableStyle="TableStyleMedium9" defaultPivotStyle="PivotStyleLight16"/>
  <colors>
    <mruColors>
      <color rgb="FFFFFF99"/>
      <color rgb="FFFFCCFF"/>
      <color rgb="FFFFFFCC"/>
      <color rgb="FF870052"/>
      <color rgb="FFBE9EE2"/>
      <color rgb="FFB4FAC6"/>
      <color rgb="FFE7ABCA"/>
      <color rgb="FFFFE1FF"/>
      <color rgb="FF00CC5C"/>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9.vml.rels><?xml version="1.0" encoding="UTF-8" standalone="yes"?>
<Relationships xmlns="http://schemas.openxmlformats.org/package/2006/relationships"><Relationship Id="rId1" Type="http://schemas.openxmlformats.org/officeDocument/2006/relationships/image" Target="../media/image1.emf"/></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lamp" displayName="Clamp" ref="B30:I34" totalsRowShown="0" headerRowDxfId="315" dataDxfId="313" headerRowBorderDxfId="314">
  <autoFilter ref="B30:I34" xr:uid="{00000000-0009-0000-0100-000001000000}"/>
  <tableColumns count="8">
    <tableColumn id="1" xr3:uid="{00000000-0010-0000-0000-000001000000}" name="WorkHours" dataDxfId="312"/>
    <tableColumn id="2" xr3:uid="{00000000-0010-0000-0000-000002000000}" name="Holiday" dataDxfId="311"/>
    <tableColumn id="3" xr3:uid="{00000000-0010-0000-0000-000003000000}" name="Date" dataDxfId="310"/>
    <tableColumn id="4" xr3:uid="{00000000-0010-0000-0000-000004000000}" name="Weekday" dataDxfId="309">
      <calculatedColumnFormula>CHOOSE(WEEKDAY(Clamp[[#This Row],[DateInYear]],2),"Mon","Tue","Wed","Thu","Fri","Sat","Sun")</calculatedColumnFormula>
    </tableColumn>
    <tableColumn id="5" xr3:uid="{00000000-0010-0000-0000-000005000000}" name="DateInYear" dataDxfId="308">
      <calculatedColumnFormula>DATEVALUE(Clamp[[#This Row],[Year]]&amp;"-"&amp;Clamp[[#This Row],[Month]]&amp;"-"&amp;Clamp[[#This Row],[Day]])</calculatedColumnFormula>
    </tableColumn>
    <tableColumn id="6" xr3:uid="{00000000-0010-0000-0000-000006000000}" name="Year" dataDxfId="307">
      <calculatedColumnFormula>AloxÅr</calculatedColumnFormula>
    </tableColumn>
    <tableColumn id="7" xr3:uid="{00000000-0010-0000-0000-000007000000}" name="Month" dataDxfId="306">
      <calculatedColumnFormula>+VLOOKUP(LEFT(Clamp[[#This Row],[Date]],3),$M$4:$N$15,2,0)</calculatedColumnFormula>
    </tableColumn>
    <tableColumn id="8" xr3:uid="{00000000-0010-0000-0000-000008000000}" name="Day" dataDxfId="305">
      <calculatedColumnFormula>IF(LEN(Clamp[[#This Row],[Date]])=6,RIGHT(Clamp[[#This Row],[Date]],2),RIGHT(Clamp[[#This Row],[Date]],1))</calculatedColumnFormula>
    </tableColumn>
  </tableColumns>
  <tableStyleInfo name="TableStyleMedium9"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Shortened" displayName="Shortened" ref="B22:I27" totalsRowShown="0" headerRowDxfId="304" dataDxfId="302" headerRowBorderDxfId="303">
  <autoFilter ref="B22:I27" xr:uid="{00000000-0009-0000-0100-000002000000}"/>
  <tableColumns count="8">
    <tableColumn id="1" xr3:uid="{00000000-0010-0000-0100-000001000000}" name="WorkHours" dataDxfId="301"/>
    <tableColumn id="2" xr3:uid="{00000000-0010-0000-0100-000002000000}" name="Holiday" dataDxfId="300"/>
    <tableColumn id="3" xr3:uid="{00000000-0010-0000-0100-000003000000}" name="Date"/>
    <tableColumn id="4" xr3:uid="{00000000-0010-0000-0100-000004000000}" name="Weekday" dataDxfId="299">
      <calculatedColumnFormula>CHOOSE(WEEKDAY(Shortened[[#This Row],[DateInYear]],2),"Mon","Tue","Wed","Thu","Fri","Sat","Sun")</calculatedColumnFormula>
    </tableColumn>
    <tableColumn id="5" xr3:uid="{00000000-0010-0000-0100-000005000000}" name="DateInYear" dataDxfId="298">
      <calculatedColumnFormula>DATEVALUE(Shortened[[#This Row],[Year]]&amp;"-"&amp;Shortened[[#This Row],[Month]]&amp;"-"&amp;Shortened[[#This Row],[Day]])</calculatedColumnFormula>
    </tableColumn>
    <tableColumn id="6" xr3:uid="{00000000-0010-0000-0100-000006000000}" name="Year" dataDxfId="297">
      <calculatedColumnFormula>AloxÅr</calculatedColumnFormula>
    </tableColumn>
    <tableColumn id="7" xr3:uid="{00000000-0010-0000-0100-000007000000}" name="Month" dataDxfId="296">
      <calculatedColumnFormula>+VLOOKUP(LEFT(Shortened[[#This Row],[Date]],3),$M$4:$N$15,2,0)</calculatedColumnFormula>
    </tableColumn>
    <tableColumn id="8" xr3:uid="{00000000-0010-0000-0100-000008000000}" name="Day" dataDxfId="295">
      <calculatedColumnFormula>IF(LEN(Shortened[[#This Row],[Date]])=6,RIGHT(Shortened[[#This Row],[Date]],2),RIGHT(Shortened[[#This Row],[Date]],1))</calculatedColumnFormula>
    </tableColumn>
  </tableColumns>
  <tableStyleInfo name="TableStyleMedium9"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Fixed_dates" displayName="Fixed_dates" ref="B11:I19" totalsRowShown="0" headerRowDxfId="294" dataDxfId="292" headerRowBorderDxfId="293">
  <autoFilter ref="B11:I19" xr:uid="{00000000-0009-0000-0100-000003000000}"/>
  <tableColumns count="8">
    <tableColumn id="1" xr3:uid="{00000000-0010-0000-0200-000001000000}" name="WorkHours" dataDxfId="291"/>
    <tableColumn id="2" xr3:uid="{00000000-0010-0000-0200-000002000000}" name="Holiday" dataDxfId="290"/>
    <tableColumn id="3" xr3:uid="{00000000-0010-0000-0200-000003000000}" name="Date" dataDxfId="289"/>
    <tableColumn id="4" xr3:uid="{00000000-0010-0000-0200-000004000000}" name="Weekday" dataDxfId="288">
      <calculatedColumnFormula>CHOOSE(WEEKDAY(Fixed_dates[[#This Row],[DateInYear]],2),"Mon","Tue","Wed","Thu","Fri","Sat","Sun")</calculatedColumnFormula>
    </tableColumn>
    <tableColumn id="5" xr3:uid="{00000000-0010-0000-0200-000005000000}" name="DateInYear" dataDxfId="287">
      <calculatedColumnFormula>DATEVALUE(Fixed_dates[[#This Row],[Year]]&amp;"-"&amp;Fixed_dates[[#This Row],[Month]]&amp;"-"&amp;Fixed_dates[[#This Row],[Day]])</calculatedColumnFormula>
    </tableColumn>
    <tableColumn id="6" xr3:uid="{00000000-0010-0000-0200-000006000000}" name="Year" dataDxfId="286">
      <calculatedColumnFormula>AloxÅr</calculatedColumnFormula>
    </tableColumn>
    <tableColumn id="7" xr3:uid="{00000000-0010-0000-0200-000007000000}" name="Month" dataDxfId="285">
      <calculatedColumnFormula>+VLOOKUP(LEFT(Fixed_dates[[#This Row],[Date]],3),$M$4:$N$15,2,0)</calculatedColumnFormula>
    </tableColumn>
    <tableColumn id="8" xr3:uid="{00000000-0010-0000-0200-000008000000}" name="Day" dataDxfId="284">
      <calculatedColumnFormula>IF(LEN(Fixed_dates[[#This Row],[Date]])=6,RIGHT(Fixed_dates[[#This Row],[Date]],2),RIGHT(Fixed_dates[[#This Row],[Date]],1))</calculatedColumnFormula>
    </tableColumn>
  </tableColumns>
  <tableStyleInfo name="TableStyleMedium9"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Fixed_weekdays" displayName="Fixed_weekdays" ref="B4:I8" totalsRowShown="0" headerRowDxfId="283">
  <autoFilter ref="B4:I8" xr:uid="{00000000-0009-0000-0100-000004000000}"/>
  <tableColumns count="8">
    <tableColumn id="1" xr3:uid="{00000000-0010-0000-0300-000001000000}" name="WorkHours" dataDxfId="282"/>
    <tableColumn id="2" xr3:uid="{00000000-0010-0000-0300-000002000000}" name="Holiday"/>
    <tableColumn id="3" xr3:uid="{00000000-0010-0000-0300-000003000000}" name="Date"/>
    <tableColumn id="4" xr3:uid="{00000000-0010-0000-0300-000004000000}" name="Weekday" dataDxfId="281">
      <calculatedColumnFormula>CHOOSE(WEEKDAY(Fixed_weekdays[[#This Row],[DateInYear]],2),"Mon","Tue","Wed","Thu","Fri","Sat","Sun")</calculatedColumnFormula>
    </tableColumn>
    <tableColumn id="5" xr3:uid="{00000000-0010-0000-0300-000005000000}" name="DateInYear" dataDxfId="280">
      <calculatedColumnFormula>DATEVALUE(Fixed_weekdays[[#This Row],[Year]]&amp;"-"&amp;Fixed_weekdays[[#This Row],[Month]]&amp;"-"&amp;Fixed_weekdays[[#This Row],[Day]])</calculatedColumnFormula>
    </tableColumn>
    <tableColumn id="6" xr3:uid="{00000000-0010-0000-0300-000006000000}" name="Year" dataDxfId="279">
      <calculatedColumnFormula>AloxÅr</calculatedColumnFormula>
    </tableColumn>
    <tableColumn id="7" xr3:uid="{00000000-0010-0000-0300-000007000000}" name="Month" dataDxfId="278">
      <calculatedColumnFormula>+VLOOKUP(LEFT(Clamp[[#This Row],[Date]],3),$M$4:$N$15,2,0)</calculatedColumnFormula>
    </tableColumn>
    <tableColumn id="8" xr3:uid="{00000000-0010-0000-0300-000008000000}" name="Day" dataDxfId="277">
      <calculatedColumnFormula>IF(LEN(Clamp[[#This Row],[Date]])=6,RIGHT(Clamp[[#This Row],[Date]],2),RIGHT(Clamp[[#This Row],[Date]],1))</calculatedColumnFormula>
    </tableColumn>
  </tableColumns>
  <tableStyleInfo name="TableStyleMedium9" showFirstColumn="0" showLastColumn="0" showRowStripes="0"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7"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5">
    <tabColor rgb="FFFF0000"/>
    <pageSetUpPr fitToPage="1"/>
  </sheetPr>
  <dimension ref="B1:I31"/>
  <sheetViews>
    <sheetView showGridLines="0" showRowColHeaders="0" tabSelected="1" topLeftCell="A2" zoomScale="55" zoomScaleNormal="55" zoomScaleSheetLayoutView="85" workbookViewId="0">
      <selection activeCell="B2" sqref="B2:H2"/>
    </sheetView>
  </sheetViews>
  <sheetFormatPr defaultRowHeight="14.5"/>
  <cols>
    <col min="1" max="1" width="3.453125" customWidth="1"/>
    <col min="3" max="3" width="68.26953125" customWidth="1"/>
    <col min="4" max="4" width="1.26953125" customWidth="1"/>
    <col min="8" max="8" width="55" customWidth="1"/>
  </cols>
  <sheetData>
    <row r="1" spans="2:9" ht="15" thickBot="1"/>
    <row r="2" spans="2:9" ht="24" thickBot="1">
      <c r="B2" s="236" t="s">
        <v>241</v>
      </c>
      <c r="C2" s="237"/>
      <c r="D2" s="237"/>
      <c r="E2" s="237"/>
      <c r="F2" s="237"/>
      <c r="G2" s="237"/>
      <c r="H2" s="238"/>
    </row>
    <row r="3" spans="2:9" ht="15" thickBot="1">
      <c r="B3" s="239"/>
      <c r="C3" s="239"/>
      <c r="D3" s="240"/>
      <c r="E3" s="239"/>
      <c r="F3" s="239"/>
      <c r="G3" s="239"/>
      <c r="H3" s="239"/>
    </row>
    <row r="4" spans="2:9">
      <c r="B4" s="241" t="s">
        <v>238</v>
      </c>
      <c r="C4" s="242"/>
      <c r="D4" s="41"/>
      <c r="E4" s="247" t="s">
        <v>237</v>
      </c>
      <c r="F4" s="248"/>
      <c r="G4" s="248"/>
      <c r="H4" s="249"/>
      <c r="I4" s="8"/>
    </row>
    <row r="5" spans="2:9">
      <c r="B5" s="243"/>
      <c r="C5" s="244"/>
      <c r="D5" s="42"/>
      <c r="E5" s="250"/>
      <c r="F5" s="251"/>
      <c r="G5" s="251"/>
      <c r="H5" s="252"/>
      <c r="I5" s="8"/>
    </row>
    <row r="6" spans="2:9">
      <c r="B6" s="243"/>
      <c r="C6" s="244"/>
      <c r="D6" s="42"/>
      <c r="E6" s="250"/>
      <c r="F6" s="251"/>
      <c r="G6" s="251"/>
      <c r="H6" s="252"/>
      <c r="I6" s="8"/>
    </row>
    <row r="7" spans="2:9">
      <c r="B7" s="243"/>
      <c r="C7" s="244"/>
      <c r="D7" s="199"/>
      <c r="E7" s="250"/>
      <c r="F7" s="251"/>
      <c r="G7" s="251"/>
      <c r="H7" s="252"/>
      <c r="I7" s="8"/>
    </row>
    <row r="8" spans="2:9">
      <c r="B8" s="243"/>
      <c r="C8" s="244"/>
      <c r="D8" s="200"/>
      <c r="E8" s="250"/>
      <c r="F8" s="251"/>
      <c r="G8" s="251"/>
      <c r="H8" s="252"/>
      <c r="I8" s="8"/>
    </row>
    <row r="9" spans="2:9">
      <c r="B9" s="243"/>
      <c r="C9" s="244"/>
      <c r="D9" s="199"/>
      <c r="E9" s="250"/>
      <c r="F9" s="251"/>
      <c r="G9" s="251"/>
      <c r="H9" s="252"/>
      <c r="I9" s="8"/>
    </row>
    <row r="10" spans="2:9">
      <c r="B10" s="243"/>
      <c r="C10" s="244"/>
      <c r="D10" s="200"/>
      <c r="E10" s="250"/>
      <c r="F10" s="251"/>
      <c r="G10" s="251"/>
      <c r="H10" s="252"/>
      <c r="I10" s="8"/>
    </row>
    <row r="11" spans="2:9">
      <c r="B11" s="243"/>
      <c r="C11" s="244"/>
      <c r="D11" s="201"/>
      <c r="E11" s="250"/>
      <c r="F11" s="251"/>
      <c r="G11" s="251"/>
      <c r="H11" s="252"/>
      <c r="I11" s="8"/>
    </row>
    <row r="12" spans="2:9">
      <c r="B12" s="243"/>
      <c r="C12" s="244"/>
      <c r="D12" s="201"/>
      <c r="E12" s="250"/>
      <c r="F12" s="251"/>
      <c r="G12" s="251"/>
      <c r="H12" s="252"/>
      <c r="I12" s="8"/>
    </row>
    <row r="13" spans="2:9">
      <c r="B13" s="243"/>
      <c r="C13" s="244"/>
      <c r="D13" s="201"/>
      <c r="E13" s="250"/>
      <c r="F13" s="251"/>
      <c r="G13" s="251"/>
      <c r="H13" s="252"/>
      <c r="I13" s="8"/>
    </row>
    <row r="14" spans="2:9">
      <c r="B14" s="243"/>
      <c r="C14" s="244"/>
      <c r="D14" s="201"/>
      <c r="E14" s="250"/>
      <c r="F14" s="251"/>
      <c r="G14" s="251"/>
      <c r="H14" s="252"/>
      <c r="I14" s="8"/>
    </row>
    <row r="15" spans="2:9">
      <c r="B15" s="243"/>
      <c r="C15" s="244"/>
      <c r="D15" s="42"/>
      <c r="E15" s="250"/>
      <c r="F15" s="251"/>
      <c r="G15" s="251"/>
      <c r="H15" s="252"/>
      <c r="I15" s="8"/>
    </row>
    <row r="16" spans="2:9">
      <c r="B16" s="243"/>
      <c r="C16" s="244"/>
      <c r="D16" s="41"/>
      <c r="E16" s="250"/>
      <c r="F16" s="251"/>
      <c r="G16" s="251"/>
      <c r="H16" s="252"/>
      <c r="I16" s="8"/>
    </row>
    <row r="17" spans="2:9">
      <c r="B17" s="243"/>
      <c r="C17" s="244"/>
      <c r="D17" s="42"/>
      <c r="E17" s="250"/>
      <c r="F17" s="251"/>
      <c r="G17" s="251"/>
      <c r="H17" s="252"/>
      <c r="I17" s="8"/>
    </row>
    <row r="18" spans="2:9">
      <c r="B18" s="243"/>
      <c r="C18" s="244"/>
      <c r="D18" s="201"/>
      <c r="E18" s="250"/>
      <c r="F18" s="251"/>
      <c r="G18" s="251"/>
      <c r="H18" s="252"/>
      <c r="I18" s="8"/>
    </row>
    <row r="19" spans="2:9">
      <c r="B19" s="243"/>
      <c r="C19" s="244"/>
      <c r="D19" s="201"/>
      <c r="E19" s="250"/>
      <c r="F19" s="251"/>
      <c r="G19" s="251"/>
      <c r="H19" s="252"/>
      <c r="I19" s="8"/>
    </row>
    <row r="20" spans="2:9">
      <c r="B20" s="243"/>
      <c r="C20" s="244"/>
      <c r="D20" s="42"/>
      <c r="E20" s="250"/>
      <c r="F20" s="251"/>
      <c r="G20" s="251"/>
      <c r="H20" s="252"/>
      <c r="I20" s="8"/>
    </row>
    <row r="21" spans="2:9">
      <c r="B21" s="243"/>
      <c r="C21" s="244"/>
      <c r="D21" s="42"/>
      <c r="E21" s="250"/>
      <c r="F21" s="251"/>
      <c r="G21" s="251"/>
      <c r="H21" s="252"/>
      <c r="I21" s="8"/>
    </row>
    <row r="22" spans="2:9">
      <c r="B22" s="243"/>
      <c r="C22" s="244"/>
      <c r="D22" s="201"/>
      <c r="E22" s="250"/>
      <c r="F22" s="251"/>
      <c r="G22" s="251"/>
      <c r="H22" s="252"/>
      <c r="I22" s="8"/>
    </row>
    <row r="23" spans="2:9">
      <c r="B23" s="243"/>
      <c r="C23" s="244"/>
      <c r="D23" s="201"/>
      <c r="E23" s="250"/>
      <c r="F23" s="251"/>
      <c r="G23" s="251"/>
      <c r="H23" s="252"/>
      <c r="I23" s="8"/>
    </row>
    <row r="24" spans="2:9">
      <c r="B24" s="243"/>
      <c r="C24" s="244"/>
      <c r="D24" s="42"/>
      <c r="E24" s="250"/>
      <c r="F24" s="251"/>
      <c r="G24" s="251"/>
      <c r="H24" s="252"/>
      <c r="I24" s="8"/>
    </row>
    <row r="25" spans="2:9">
      <c r="B25" s="243"/>
      <c r="C25" s="244"/>
      <c r="D25" s="42"/>
      <c r="E25" s="250"/>
      <c r="F25" s="251"/>
      <c r="G25" s="251"/>
      <c r="H25" s="252"/>
      <c r="I25" s="8"/>
    </row>
    <row r="26" spans="2:9">
      <c r="B26" s="243"/>
      <c r="C26" s="244"/>
      <c r="D26" s="42"/>
      <c r="E26" s="250"/>
      <c r="F26" s="251"/>
      <c r="G26" s="251"/>
      <c r="H26" s="252"/>
      <c r="I26" s="8"/>
    </row>
    <row r="27" spans="2:9" ht="88.9" customHeight="1" thickBot="1">
      <c r="B27" s="245"/>
      <c r="C27" s="246"/>
      <c r="D27" s="42"/>
      <c r="E27" s="253"/>
      <c r="F27" s="254"/>
      <c r="G27" s="254"/>
      <c r="H27" s="255"/>
      <c r="I27" s="8"/>
    </row>
    <row r="28" spans="2:9" ht="24.65" customHeight="1">
      <c r="B28" s="3"/>
      <c r="E28" s="4"/>
    </row>
    <row r="29" spans="2:9" ht="34.15" customHeight="1">
      <c r="B29" s="228" t="s">
        <v>235</v>
      </c>
      <c r="C29" s="229"/>
      <c r="D29" s="229"/>
      <c r="E29" s="229"/>
      <c r="F29" s="229"/>
      <c r="G29" s="230"/>
      <c r="H29" s="231"/>
      <c r="I29" s="7"/>
    </row>
    <row r="30" spans="2:9" ht="15.5">
      <c r="B30" s="43"/>
      <c r="C30" s="43"/>
      <c r="D30" s="43"/>
      <c r="E30" s="43"/>
      <c r="F30" s="43"/>
      <c r="G30" s="44"/>
      <c r="H30" s="44"/>
      <c r="I30" s="7"/>
    </row>
    <row r="31" spans="2:9" ht="30.65" customHeight="1">
      <c r="B31" s="232" t="s">
        <v>236</v>
      </c>
      <c r="C31" s="233"/>
      <c r="D31" s="233"/>
      <c r="E31" s="233"/>
      <c r="F31" s="233"/>
      <c r="G31" s="234"/>
      <c r="H31" s="235"/>
      <c r="I31" s="7"/>
    </row>
  </sheetData>
  <sheetProtection algorithmName="SHA-512" hashValue="ni+1sOx6L6CXBhBZX99ug644LRvhJ7EHpS1oKVGBVqmfnwDaHGMdAjck1PrB+ab6Qp9yCTkcpDRPVzFzfEII/w==" saltValue="JosbYkhEJ5TxzBG+yF662g==" spinCount="100000" sheet="1" objects="1" scenarios="1"/>
  <mergeCells count="6">
    <mergeCell ref="B29:H29"/>
    <mergeCell ref="B31:H31"/>
    <mergeCell ref="B2:H2"/>
    <mergeCell ref="B3:H3"/>
    <mergeCell ref="B4:C27"/>
    <mergeCell ref="E4:H27"/>
  </mergeCells>
  <pageMargins left="0.7" right="0.7" top="0.75" bottom="0.75" header="0.3" footer="0.3"/>
  <pageSetup paperSize="9" scale="8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7">
    <tabColor theme="5" tint="-0.249977111117893"/>
    <pageSetUpPr fitToPage="1"/>
  </sheetPr>
  <dimension ref="B1:AO164"/>
  <sheetViews>
    <sheetView showGridLines="0" showZeros="0" zoomScale="40" zoomScaleNormal="40" zoomScaleSheetLayoutView="55" workbookViewId="0">
      <selection activeCell="D4" sqref="D4"/>
    </sheetView>
  </sheetViews>
  <sheetFormatPr defaultColWidth="0" defaultRowHeight="15" customHeight="1" zeroHeight="1"/>
  <cols>
    <col min="1" max="1" width="1.54296875" style="12" customWidth="1"/>
    <col min="2" max="3" width="25.7265625" style="12" customWidth="1"/>
    <col min="4" max="32" width="5.26953125" style="12" customWidth="1"/>
    <col min="33" max="33" width="4.81640625" style="12" customWidth="1"/>
    <col min="34" max="34" width="5.26953125" style="12" hidden="1" customWidth="1"/>
    <col min="35" max="35" width="8.26953125" style="12" customWidth="1"/>
    <col min="36" max="36" width="8.1796875" style="12" bestFit="1" customWidth="1"/>
    <col min="37" max="37" width="29" style="12" customWidth="1"/>
    <col min="38" max="38" width="5.7265625" style="118" customWidth="1"/>
    <col min="39" max="16383" width="9.1796875" style="12" customWidth="1"/>
    <col min="16384" max="16384" width="2.1796875" style="12" customWidth="1"/>
  </cols>
  <sheetData>
    <row r="1" spans="2:38" ht="21">
      <c r="B1" s="96" t="s">
        <v>79</v>
      </c>
      <c r="C1" s="96">
        <f>Year</f>
        <v>2021</v>
      </c>
      <c r="D1" s="97"/>
      <c r="E1" s="97"/>
      <c r="F1" s="97"/>
      <c r="G1" s="97"/>
      <c r="H1" s="97"/>
      <c r="I1" s="97"/>
      <c r="J1" s="97"/>
      <c r="K1" s="97"/>
      <c r="L1" s="97"/>
      <c r="M1" s="97"/>
      <c r="N1" s="114"/>
      <c r="O1" s="97"/>
      <c r="P1" s="98" t="s">
        <v>6</v>
      </c>
      <c r="Q1" s="99">
        <f>Member</f>
        <v>0</v>
      </c>
      <c r="R1" s="97"/>
      <c r="S1" s="48"/>
      <c r="T1" s="48"/>
      <c r="U1" s="48"/>
      <c r="V1" s="48"/>
      <c r="W1" s="48"/>
      <c r="X1" s="48"/>
      <c r="Y1" s="48"/>
      <c r="Z1" s="48"/>
      <c r="AA1" s="48"/>
      <c r="AB1" s="48"/>
      <c r="AC1" s="115"/>
      <c r="AD1" s="48"/>
      <c r="AE1" s="34"/>
      <c r="AF1" s="48"/>
      <c r="AG1" s="48"/>
      <c r="AH1" s="48"/>
      <c r="AI1" s="34"/>
      <c r="AJ1" s="34"/>
    </row>
    <row r="2" spans="2:38" ht="12.75" customHeight="1">
      <c r="B2" s="36"/>
      <c r="C2" s="50">
        <f>C39</f>
        <v>39</v>
      </c>
      <c r="D2" s="50" t="b">
        <f ca="1">OR(OR(WEEKDAY(D3,2)=6,WEEKDAY(D3,2)=7),IFERROR(INDEX(INDIRECT("Shortened[WorkHours]"),MATCH(D3,INDIRECT("Shortened[DateInYear]"),0),0),0)&gt;7,IFERROR(INDEX(INDIRECT("Clamp[WorkHours]"),MATCH(D3,INDIRECT("Clamp[DateInYear]"),0),0),0)&gt;7,IFERROR(MATCH(D3,INDIRECT("Fixed_dates[DateInYear]"),0),0)&gt;0,IFERROR(MATCH(D3,INDIRECT("Fixed_weekdays[DateInYear]"),0),0)&gt;0)</f>
        <v>0</v>
      </c>
      <c r="E2" s="50" t="b">
        <f t="shared" ref="E2:AH2" ca="1" si="0">OR(OR(WEEKDAY(E3,2)=6,WEEKDAY(E3,2)=7),IFERROR(INDEX(INDIRECT("Shortened[WorkHours]"),MATCH(E3,INDIRECT("Shortened[DateInYear]"),0),0),0)&gt;7,IFERROR(INDEX(INDIRECT("Clamp[WorkHours]"),MATCH(E3,INDIRECT("Clamp[DateInYear]"),0),0),0)&gt;7,IFERROR(MATCH(E3,INDIRECT("Fixed_dates[DateInYear]"),0),0)&gt;0,IFERROR(MATCH(E3,INDIRECT("Fixed_weekdays[DateInYear]"),0),0)&gt;0)</f>
        <v>0</v>
      </c>
      <c r="F2" s="50" t="b">
        <f t="shared" ca="1" si="0"/>
        <v>0</v>
      </c>
      <c r="G2" s="50" t="b">
        <f t="shared" ca="1" si="0"/>
        <v>0</v>
      </c>
      <c r="H2" s="50" t="b">
        <f t="shared" ca="1" si="0"/>
        <v>1</v>
      </c>
      <c r="I2" s="50" t="b">
        <f t="shared" ca="1" si="0"/>
        <v>1</v>
      </c>
      <c r="J2" s="50" t="b">
        <f t="shared" ca="1" si="0"/>
        <v>0</v>
      </c>
      <c r="K2" s="50" t="b">
        <f t="shared" ca="1" si="0"/>
        <v>0</v>
      </c>
      <c r="L2" s="50" t="b">
        <f t="shared" ca="1" si="0"/>
        <v>0</v>
      </c>
      <c r="M2" s="50" t="b">
        <f t="shared" ca="1" si="0"/>
        <v>0</v>
      </c>
      <c r="N2" s="50" t="b">
        <f t="shared" ca="1" si="0"/>
        <v>0</v>
      </c>
      <c r="O2" s="50" t="b">
        <f t="shared" ca="1" si="0"/>
        <v>1</v>
      </c>
      <c r="P2" s="50" t="b">
        <f t="shared" ca="1" si="0"/>
        <v>1</v>
      </c>
      <c r="Q2" s="50" t="b">
        <f t="shared" ca="1" si="0"/>
        <v>0</v>
      </c>
      <c r="R2" s="116" t="b">
        <f t="shared" ca="1" si="0"/>
        <v>0</v>
      </c>
      <c r="S2" s="50" t="b">
        <f t="shared" ca="1" si="0"/>
        <v>0</v>
      </c>
      <c r="T2" s="50" t="b">
        <f t="shared" ca="1" si="0"/>
        <v>0</v>
      </c>
      <c r="U2" s="50" t="b">
        <f t="shared" ca="1" si="0"/>
        <v>0</v>
      </c>
      <c r="V2" s="50" t="b">
        <f t="shared" ca="1" si="0"/>
        <v>1</v>
      </c>
      <c r="W2" s="50" t="b">
        <f t="shared" ca="1" si="0"/>
        <v>1</v>
      </c>
      <c r="X2" s="50" t="b">
        <f t="shared" ca="1" si="0"/>
        <v>0</v>
      </c>
      <c r="Y2" s="50" t="b">
        <f t="shared" ca="1" si="0"/>
        <v>0</v>
      </c>
      <c r="Z2" s="50" t="b">
        <f t="shared" ca="1" si="0"/>
        <v>0</v>
      </c>
      <c r="AA2" s="50" t="b">
        <f t="shared" ca="1" si="0"/>
        <v>0</v>
      </c>
      <c r="AB2" s="50" t="b">
        <f t="shared" ca="1" si="0"/>
        <v>1</v>
      </c>
      <c r="AC2" s="50" t="b">
        <f t="shared" ca="1" si="0"/>
        <v>1</v>
      </c>
      <c r="AD2" s="50" t="b">
        <f t="shared" ca="1" si="0"/>
        <v>1</v>
      </c>
      <c r="AE2" s="50" t="b">
        <f t="shared" ca="1" si="0"/>
        <v>0</v>
      </c>
      <c r="AF2" s="50" t="b">
        <f ca="1">OR(OR(WEEKDAY(AF3,2)=6,WEEKDAY(AF3,2)=7),IFERROR(INDEX(INDIRECT("Shortened[WorkHours]"),MATCH(AF3,INDIRECT("Shortened[DateInYear]"),0),0),0)&gt;7,IFERROR(INDEX(INDIRECT("Clamp[WorkHours]"),MATCH(AF3,INDIRECT("Clamp[DateInYear]"),0),0),0)&gt;7,IFERROR(MATCH(AF3,INDIRECT("Fixed_dates[DateInYear]"),0),0)&gt;0,IFERROR(MATCH(AF3,INDIRECT("Fixed_weekdays[DateInYear]"),0),0)&gt;0)</f>
        <v>0</v>
      </c>
      <c r="AG2" s="50" t="b">
        <f t="shared" ca="1" si="0"/>
        <v>0</v>
      </c>
      <c r="AH2" s="50" t="b">
        <f t="shared" ca="1" si="0"/>
        <v>0</v>
      </c>
      <c r="AI2" s="100"/>
      <c r="AJ2" s="117"/>
    </row>
    <row r="3" spans="2:38" ht="17.149999999999999" customHeight="1">
      <c r="B3" s="85" t="s">
        <v>74</v>
      </c>
      <c r="C3" s="86"/>
      <c r="D3" s="87">
        <f>DATEVALUE(AloxÅr&amp;"-"&amp;VLOOKUP(LEFT(B1,3),Holidays!$M$4:$N$15,2,0)&amp;"-1")</f>
        <v>44348</v>
      </c>
      <c r="E3" s="87">
        <f>DATE(YEAR(D3),MONTH(D3),DAY(D3)+1)</f>
        <v>44349</v>
      </c>
      <c r="F3" s="87">
        <f t="shared" ref="F3:AH3" si="1">DATE(YEAR(E3),MONTH(E3),DAY(E3)+1)</f>
        <v>44350</v>
      </c>
      <c r="G3" s="87">
        <f t="shared" si="1"/>
        <v>44351</v>
      </c>
      <c r="H3" s="87">
        <f t="shared" si="1"/>
        <v>44352</v>
      </c>
      <c r="I3" s="87">
        <f t="shared" si="1"/>
        <v>44353</v>
      </c>
      <c r="J3" s="87">
        <f t="shared" si="1"/>
        <v>44354</v>
      </c>
      <c r="K3" s="87">
        <f t="shared" si="1"/>
        <v>44355</v>
      </c>
      <c r="L3" s="87">
        <f t="shared" si="1"/>
        <v>44356</v>
      </c>
      <c r="M3" s="87">
        <f t="shared" si="1"/>
        <v>44357</v>
      </c>
      <c r="N3" s="87">
        <f t="shared" si="1"/>
        <v>44358</v>
      </c>
      <c r="O3" s="87">
        <f t="shared" si="1"/>
        <v>44359</v>
      </c>
      <c r="P3" s="87">
        <f t="shared" si="1"/>
        <v>44360</v>
      </c>
      <c r="Q3" s="87">
        <f t="shared" si="1"/>
        <v>44361</v>
      </c>
      <c r="R3" s="87">
        <f t="shared" si="1"/>
        <v>44362</v>
      </c>
      <c r="S3" s="87">
        <f t="shared" si="1"/>
        <v>44363</v>
      </c>
      <c r="T3" s="87">
        <f t="shared" si="1"/>
        <v>44364</v>
      </c>
      <c r="U3" s="87">
        <f t="shared" si="1"/>
        <v>44365</v>
      </c>
      <c r="V3" s="87">
        <f t="shared" si="1"/>
        <v>44366</v>
      </c>
      <c r="W3" s="87">
        <f t="shared" si="1"/>
        <v>44367</v>
      </c>
      <c r="X3" s="87">
        <f t="shared" si="1"/>
        <v>44368</v>
      </c>
      <c r="Y3" s="87">
        <f t="shared" si="1"/>
        <v>44369</v>
      </c>
      <c r="Z3" s="87">
        <f t="shared" si="1"/>
        <v>44370</v>
      </c>
      <c r="AA3" s="87">
        <f t="shared" si="1"/>
        <v>44371</v>
      </c>
      <c r="AB3" s="87">
        <f t="shared" si="1"/>
        <v>44372</v>
      </c>
      <c r="AC3" s="87">
        <f t="shared" si="1"/>
        <v>44373</v>
      </c>
      <c r="AD3" s="87">
        <f t="shared" si="1"/>
        <v>44374</v>
      </c>
      <c r="AE3" s="87">
        <f t="shared" si="1"/>
        <v>44375</v>
      </c>
      <c r="AF3" s="87">
        <f t="shared" si="1"/>
        <v>44376</v>
      </c>
      <c r="AG3" s="87">
        <f t="shared" si="1"/>
        <v>44377</v>
      </c>
      <c r="AH3" s="87">
        <f t="shared" si="1"/>
        <v>44378</v>
      </c>
      <c r="AI3" s="113" t="s">
        <v>3</v>
      </c>
      <c r="AJ3" s="184" t="s">
        <v>97</v>
      </c>
      <c r="AK3" s="183" t="s">
        <v>213</v>
      </c>
    </row>
    <row r="4" spans="2:38" s="64" customFormat="1" ht="17.149999999999999" customHeight="1">
      <c r="B4" s="327" t="str">
        <f>IFERROR(Project.01&amp;" "&amp;WP.01&amp;" "&amp;Contract.01&amp;" "&amp;Type.01&amp;" "&amp;Activity.01," ")</f>
        <v xml:space="preserve">    </v>
      </c>
      <c r="C4" s="327"/>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191"/>
      <c r="AI4" s="89">
        <f>SUM(D4:AG4)</f>
        <v>0</v>
      </c>
      <c r="AJ4" s="185" t="str">
        <f t="shared" ref="AJ4:AJ23" si="2">IFERROR(AI4/$AI$26,"")</f>
        <v/>
      </c>
      <c r="AK4" s="188"/>
      <c r="AL4" s="119"/>
    </row>
    <row r="5" spans="2:38" s="64" customFormat="1" ht="17.149999999999999" customHeight="1">
      <c r="B5" s="327" t="str">
        <f>IFERROR(Project.02&amp;" "&amp;WP.02&amp;" "&amp;Contract.02&amp;" "&amp;Type.02&amp;" "&amp;Activity.02," ")</f>
        <v xml:space="preserve">    </v>
      </c>
      <c r="C5" s="327"/>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191"/>
      <c r="AI5" s="89">
        <f t="shared" ref="AI5:AI28" si="3">SUM(D5:AG5)</f>
        <v>0</v>
      </c>
      <c r="AJ5" s="185" t="str">
        <f t="shared" si="2"/>
        <v/>
      </c>
      <c r="AK5" s="188"/>
      <c r="AL5" s="119"/>
    </row>
    <row r="6" spans="2:38" s="64" customFormat="1" ht="17.149999999999999" customHeight="1">
      <c r="B6" s="327" t="str">
        <f>IFERROR(Project.03&amp;" "&amp;WP.03&amp;" "&amp;Contract.03&amp;" "&amp;Type.03&amp;" "&amp;Activity.03," ")</f>
        <v xml:space="preserve">    </v>
      </c>
      <c r="C6" s="327"/>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191"/>
      <c r="AI6" s="89">
        <f t="shared" si="3"/>
        <v>0</v>
      </c>
      <c r="AJ6" s="185" t="str">
        <f t="shared" si="2"/>
        <v/>
      </c>
      <c r="AK6" s="188"/>
      <c r="AL6" s="119"/>
    </row>
    <row r="7" spans="2:38" s="64" customFormat="1" ht="17.149999999999999" customHeight="1">
      <c r="B7" s="327" t="str">
        <f>IFERROR(Project.04&amp;" "&amp;WP.04&amp;" "&amp;Contract.04&amp;" "&amp;Type.04&amp;" "&amp;Activity.04," ")</f>
        <v xml:space="preserve">    </v>
      </c>
      <c r="C7" s="327"/>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191"/>
      <c r="AI7" s="89">
        <f t="shared" si="3"/>
        <v>0</v>
      </c>
      <c r="AJ7" s="185" t="str">
        <f t="shared" si="2"/>
        <v/>
      </c>
      <c r="AK7" s="188"/>
      <c r="AL7" s="119"/>
    </row>
    <row r="8" spans="2:38" s="64" customFormat="1" ht="17.149999999999999" customHeight="1">
      <c r="B8" s="327" t="str">
        <f>IFERROR(Project.05&amp;" "&amp;WP.05&amp;" "&amp;Contract.05&amp;" "&amp;Type.05&amp;" "&amp;Activity.05," ")</f>
        <v xml:space="preserve">    </v>
      </c>
      <c r="C8" s="327"/>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191"/>
      <c r="AI8" s="89">
        <f t="shared" si="3"/>
        <v>0</v>
      </c>
      <c r="AJ8" s="185" t="str">
        <f t="shared" si="2"/>
        <v/>
      </c>
      <c r="AK8" s="188"/>
      <c r="AL8" s="119"/>
    </row>
    <row r="9" spans="2:38" s="64" customFormat="1" ht="17.149999999999999" customHeight="1">
      <c r="B9" s="327" t="str">
        <f>IFERROR(Project.06&amp;" "&amp;WP.06&amp;" "&amp;Contract.06&amp;" "&amp;Type.06&amp;" "&amp;Activity.06," ")</f>
        <v xml:space="preserve">    </v>
      </c>
      <c r="C9" s="327"/>
      <c r="D9" s="88"/>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191"/>
      <c r="AI9" s="89">
        <f t="shared" si="3"/>
        <v>0</v>
      </c>
      <c r="AJ9" s="185" t="str">
        <f t="shared" si="2"/>
        <v/>
      </c>
      <c r="AK9" s="188"/>
      <c r="AL9" s="119"/>
    </row>
    <row r="10" spans="2:38" s="64" customFormat="1" ht="17.149999999999999" customHeight="1">
      <c r="B10" s="327" t="str">
        <f>IFERROR(Project.07&amp;" "&amp;WP.07&amp;" "&amp;Contract.07&amp;" "&amp;Type.07&amp;" "&amp;Activity.07," ")</f>
        <v xml:space="preserve">    </v>
      </c>
      <c r="C10" s="327"/>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191"/>
      <c r="AI10" s="89">
        <f t="shared" si="3"/>
        <v>0</v>
      </c>
      <c r="AJ10" s="185" t="str">
        <f t="shared" si="2"/>
        <v/>
      </c>
      <c r="AK10" s="188"/>
      <c r="AL10" s="186"/>
    </row>
    <row r="11" spans="2:38" s="64" customFormat="1" ht="17.149999999999999" customHeight="1">
      <c r="B11" s="327" t="str">
        <f>IFERROR(Project.08&amp;" "&amp;WP.08&amp;" "&amp;Contract.08&amp;" "&amp;Type.08&amp;" "&amp;Activity.08," ")</f>
        <v xml:space="preserve">    </v>
      </c>
      <c r="C11" s="327"/>
      <c r="D11" s="88"/>
      <c r="E11" s="88"/>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191"/>
      <c r="AI11" s="89">
        <f t="shared" si="3"/>
        <v>0</v>
      </c>
      <c r="AJ11" s="185" t="str">
        <f t="shared" si="2"/>
        <v/>
      </c>
      <c r="AK11" s="188"/>
      <c r="AL11" s="119"/>
    </row>
    <row r="12" spans="2:38" s="64" customFormat="1" ht="17.149999999999999" customHeight="1">
      <c r="B12" s="327" t="str">
        <f>(Project.09&amp;" "&amp;WP.09&amp;" "&amp;Contract.09&amp;" "&amp;Type.09&amp;" "&amp;Activity.09)</f>
        <v xml:space="preserve">    </v>
      </c>
      <c r="C12" s="327"/>
      <c r="D12" s="88"/>
      <c r="E12" s="88"/>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191"/>
      <c r="AI12" s="89">
        <f t="shared" si="3"/>
        <v>0</v>
      </c>
      <c r="AJ12" s="185" t="str">
        <f t="shared" si="2"/>
        <v/>
      </c>
      <c r="AK12" s="188"/>
      <c r="AL12" s="119"/>
    </row>
    <row r="13" spans="2:38" s="64" customFormat="1" ht="17.149999999999999" customHeight="1">
      <c r="B13" s="327" t="str">
        <f>IFERROR(Project.10&amp;" "&amp;WP.10&amp;" "&amp;Contract.10&amp;" "&amp;Type.10&amp;" "&amp;Activity.10," ")</f>
        <v xml:space="preserve">    </v>
      </c>
      <c r="C13" s="327"/>
      <c r="D13" s="88"/>
      <c r="E13" s="88"/>
      <c r="F13" s="88"/>
      <c r="G13" s="88"/>
      <c r="H13" s="88"/>
      <c r="I13" s="88"/>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191"/>
      <c r="AI13" s="89">
        <f t="shared" si="3"/>
        <v>0</v>
      </c>
      <c r="AJ13" s="185" t="str">
        <f t="shared" si="2"/>
        <v/>
      </c>
      <c r="AK13" s="188"/>
      <c r="AL13" s="119"/>
    </row>
    <row r="14" spans="2:38" s="64" customFormat="1" ht="17.149999999999999" customHeight="1">
      <c r="B14" s="327" t="str">
        <f>IFERROR(Project.11&amp;" "&amp;WP.11&amp;" "&amp;Contract.11&amp;" "&amp;Type.11&amp;" "&amp;Activity.11," ")</f>
        <v xml:space="preserve">    </v>
      </c>
      <c r="C14" s="327"/>
      <c r="D14" s="88"/>
      <c r="E14" s="88"/>
      <c r="F14" s="88"/>
      <c r="G14" s="88"/>
      <c r="H14" s="88"/>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191"/>
      <c r="AI14" s="89">
        <f t="shared" si="3"/>
        <v>0</v>
      </c>
      <c r="AJ14" s="185" t="str">
        <f t="shared" si="2"/>
        <v/>
      </c>
      <c r="AK14" s="188"/>
      <c r="AL14" s="119"/>
    </row>
    <row r="15" spans="2:38" s="64" customFormat="1" ht="17.149999999999999" customHeight="1">
      <c r="B15" s="327" t="str">
        <f>IFERROR(Project.12&amp;" "&amp;WP.12&amp;" "&amp;Contract.12&amp;" "&amp;Type.12&amp;" "&amp;Activity.12," ")</f>
        <v xml:space="preserve">    </v>
      </c>
      <c r="C15" s="327"/>
      <c r="D15" s="88"/>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191"/>
      <c r="AI15" s="89">
        <f t="shared" si="3"/>
        <v>0</v>
      </c>
      <c r="AJ15" s="185" t="str">
        <f t="shared" si="2"/>
        <v/>
      </c>
      <c r="AK15" s="188"/>
      <c r="AL15" s="119"/>
    </row>
    <row r="16" spans="2:38" s="64" customFormat="1" ht="17.149999999999999" customHeight="1">
      <c r="B16" s="327" t="str">
        <f>IFERROR(Project.13&amp;" "&amp;WP.13&amp;" "&amp;Contract.13&amp;" "&amp;Type.13&amp;" "&amp;Activity.13," ")</f>
        <v xml:space="preserve">    </v>
      </c>
      <c r="C16" s="327"/>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190"/>
      <c r="AI16" s="89">
        <f t="shared" si="3"/>
        <v>0</v>
      </c>
      <c r="AJ16" s="185" t="str">
        <f t="shared" si="2"/>
        <v/>
      </c>
      <c r="AK16" s="188"/>
      <c r="AL16" s="119"/>
    </row>
    <row r="17" spans="2:41" s="64" customFormat="1" ht="17.149999999999999" customHeight="1">
      <c r="B17" s="327" t="str">
        <f>IFERROR(Project.14&amp;" "&amp;WP.14&amp;" "&amp;Contract.14&amp;" "&amp;Type.14&amp;" "&amp;Activity.14," ")</f>
        <v xml:space="preserve">    </v>
      </c>
      <c r="C17" s="327"/>
      <c r="D17" s="88"/>
      <c r="E17" s="88"/>
      <c r="F17" s="88"/>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190"/>
      <c r="AI17" s="89">
        <f t="shared" si="3"/>
        <v>0</v>
      </c>
      <c r="AJ17" s="185" t="str">
        <f t="shared" si="2"/>
        <v/>
      </c>
      <c r="AK17" s="188"/>
      <c r="AL17" s="119"/>
    </row>
    <row r="18" spans="2:41" s="64" customFormat="1" ht="17.149999999999999" customHeight="1">
      <c r="B18" s="327" t="str">
        <f>IFERROR(Project.15&amp;" "&amp;WP.15&amp;" "&amp;Contract.15&amp;" "&amp;Type.15&amp;" "&amp;Activity.15," ")</f>
        <v xml:space="preserve">    </v>
      </c>
      <c r="C18" s="327"/>
      <c r="D18" s="88"/>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191"/>
      <c r="AI18" s="89">
        <f t="shared" si="3"/>
        <v>0</v>
      </c>
      <c r="AJ18" s="185" t="str">
        <f t="shared" si="2"/>
        <v/>
      </c>
      <c r="AK18" s="188"/>
      <c r="AL18" s="119"/>
    </row>
    <row r="19" spans="2:41" s="64" customFormat="1" ht="17.149999999999999" customHeight="1">
      <c r="B19" s="327" t="str">
        <f>IFERROR(Project.16&amp;" "&amp;WP.16&amp;" "&amp;Contract.16&amp;" "&amp;Type.16&amp;" "&amp;Activity.16," ")</f>
        <v xml:space="preserve">    </v>
      </c>
      <c r="C19" s="327"/>
      <c r="D19" s="88"/>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191"/>
      <c r="AI19" s="89">
        <f t="shared" si="3"/>
        <v>0</v>
      </c>
      <c r="AJ19" s="185" t="str">
        <f t="shared" si="2"/>
        <v/>
      </c>
      <c r="AK19" s="188"/>
      <c r="AL19" s="119"/>
    </row>
    <row r="20" spans="2:41" s="64" customFormat="1" ht="17.149999999999999" customHeight="1">
      <c r="B20" s="327" t="str">
        <f>IFERROR(Project.17&amp;" "&amp;WP.17&amp;" "&amp;Contract.17&amp;" "&amp;Type.17&amp;" "&amp;Activity.17," ")</f>
        <v xml:space="preserve">    </v>
      </c>
      <c r="C20" s="327"/>
      <c r="D20" s="88"/>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191"/>
      <c r="AI20" s="89">
        <f t="shared" si="3"/>
        <v>0</v>
      </c>
      <c r="AJ20" s="185" t="str">
        <f t="shared" si="2"/>
        <v/>
      </c>
      <c r="AK20" s="188"/>
      <c r="AL20" s="119"/>
    </row>
    <row r="21" spans="2:41" s="64" customFormat="1" ht="17.149999999999999" customHeight="1">
      <c r="B21" s="327" t="str">
        <f>IFERROR(Project.18&amp;" "&amp;WP.18&amp;" "&amp;Contract.18&amp;" "&amp;Type.18&amp;" "&amp;Activity.18," ")</f>
        <v xml:space="preserve">    </v>
      </c>
      <c r="C21" s="327"/>
      <c r="D21" s="88"/>
      <c r="E21" s="88"/>
      <c r="F21" s="88"/>
      <c r="G21" s="88"/>
      <c r="H21" s="88"/>
      <c r="I21" s="88"/>
      <c r="J21" s="88"/>
      <c r="K21" s="88"/>
      <c r="L21" s="88"/>
      <c r="M21" s="88"/>
      <c r="N21" s="88"/>
      <c r="O21" s="88"/>
      <c r="P21" s="88"/>
      <c r="Q21" s="88"/>
      <c r="R21" s="88"/>
      <c r="S21" s="88"/>
      <c r="T21" s="88"/>
      <c r="U21" s="88"/>
      <c r="V21" s="88"/>
      <c r="W21" s="88"/>
      <c r="X21" s="88"/>
      <c r="Y21" s="88"/>
      <c r="Z21" s="88"/>
      <c r="AA21" s="88"/>
      <c r="AB21" s="88"/>
      <c r="AC21" s="88"/>
      <c r="AD21" s="88"/>
      <c r="AE21" s="88"/>
      <c r="AF21" s="88"/>
      <c r="AG21" s="88"/>
      <c r="AH21" s="191"/>
      <c r="AI21" s="89">
        <f t="shared" si="3"/>
        <v>0</v>
      </c>
      <c r="AJ21" s="185" t="str">
        <f t="shared" si="2"/>
        <v/>
      </c>
      <c r="AK21" s="188"/>
      <c r="AL21" s="119"/>
    </row>
    <row r="22" spans="2:41" s="64" customFormat="1" ht="17.149999999999999" customHeight="1">
      <c r="B22" s="327" t="str">
        <f>IFERROR(Project.19&amp;" "&amp;WP.19&amp;" "&amp;Contract.19&amp;" "&amp;Type.19&amp;" "&amp;Activity.19," ")</f>
        <v xml:space="preserve">    </v>
      </c>
      <c r="C22" s="327"/>
      <c r="D22" s="88"/>
      <c r="E22" s="88"/>
      <c r="F22" s="88"/>
      <c r="G22" s="88"/>
      <c r="H22" s="88"/>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191"/>
      <c r="AI22" s="89">
        <f t="shared" si="3"/>
        <v>0</v>
      </c>
      <c r="AJ22" s="185" t="str">
        <f t="shared" si="2"/>
        <v/>
      </c>
      <c r="AK22" s="188"/>
      <c r="AL22" s="119"/>
    </row>
    <row r="23" spans="2:41" s="64" customFormat="1" ht="17.149999999999999" customHeight="1">
      <c r="B23" s="328" t="str">
        <f>IFERROR(Project.20&amp;" "&amp;WP.20&amp;" "&amp;Contract.20&amp;" "&amp;Type.20&amp;" "&amp;Activity.20," ")</f>
        <v xml:space="preserve">OTHER HOURS WORKED    </v>
      </c>
      <c r="C23" s="328"/>
      <c r="D23" s="88"/>
      <c r="E23" s="88"/>
      <c r="F23" s="88"/>
      <c r="G23" s="88"/>
      <c r="H23" s="88"/>
      <c r="I23" s="88"/>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191"/>
      <c r="AI23" s="89">
        <f t="shared" si="3"/>
        <v>0</v>
      </c>
      <c r="AJ23" s="185" t="str">
        <f t="shared" si="2"/>
        <v/>
      </c>
      <c r="AK23" s="188"/>
      <c r="AL23" s="119"/>
    </row>
    <row r="24" spans="2:41" s="64" customFormat="1" ht="17.149999999999999" customHeight="1">
      <c r="B24" s="207" t="s">
        <v>239</v>
      </c>
      <c r="C24" s="81"/>
      <c r="D24" s="208"/>
      <c r="E24" s="208"/>
      <c r="F24" s="208"/>
      <c r="G24" s="208"/>
      <c r="H24" s="208"/>
      <c r="I24" s="208"/>
      <c r="J24" s="208"/>
      <c r="K24" s="208"/>
      <c r="L24" s="208"/>
      <c r="M24" s="208"/>
      <c r="N24" s="208"/>
      <c r="O24" s="208"/>
      <c r="P24" s="208"/>
      <c r="Q24" s="208"/>
      <c r="R24" s="208"/>
      <c r="S24" s="208"/>
      <c r="T24" s="208"/>
      <c r="U24" s="208"/>
      <c r="V24" s="208"/>
      <c r="W24" s="208"/>
      <c r="X24" s="208"/>
      <c r="Y24" s="208"/>
      <c r="Z24" s="208"/>
      <c r="AA24" s="208"/>
      <c r="AB24" s="208"/>
      <c r="AC24" s="208"/>
      <c r="AD24" s="208"/>
      <c r="AE24" s="208"/>
      <c r="AF24" s="208"/>
      <c r="AG24" s="208"/>
      <c r="AH24" s="90"/>
      <c r="AI24" s="90">
        <f t="shared" si="3"/>
        <v>0</v>
      </c>
      <c r="AJ24" s="149" t="str">
        <f>IFERROR(AI24/$AI$28,"")</f>
        <v/>
      </c>
      <c r="AK24" s="188"/>
      <c r="AL24" s="119"/>
    </row>
    <row r="25" spans="2:41" s="65" customFormat="1" ht="17.149999999999999" customHeight="1">
      <c r="B25" s="83" t="s">
        <v>56</v>
      </c>
      <c r="C25" s="84"/>
      <c r="D25" s="91">
        <f>D26</f>
        <v>0</v>
      </c>
      <c r="E25" s="91">
        <f t="shared" ref="E25:AG25" si="4">E26</f>
        <v>0</v>
      </c>
      <c r="F25" s="91">
        <f t="shared" si="4"/>
        <v>0</v>
      </c>
      <c r="G25" s="91">
        <f t="shared" si="4"/>
        <v>0</v>
      </c>
      <c r="H25" s="91">
        <f t="shared" si="4"/>
        <v>0</v>
      </c>
      <c r="I25" s="91">
        <f t="shared" si="4"/>
        <v>0</v>
      </c>
      <c r="J25" s="91">
        <f t="shared" si="4"/>
        <v>0</v>
      </c>
      <c r="K25" s="91">
        <f t="shared" si="4"/>
        <v>0</v>
      </c>
      <c r="L25" s="91">
        <f t="shared" si="4"/>
        <v>0</v>
      </c>
      <c r="M25" s="91">
        <f t="shared" si="4"/>
        <v>0</v>
      </c>
      <c r="N25" s="91">
        <f t="shared" si="4"/>
        <v>0</v>
      </c>
      <c r="O25" s="91">
        <f t="shared" si="4"/>
        <v>0</v>
      </c>
      <c r="P25" s="91">
        <f t="shared" si="4"/>
        <v>0</v>
      </c>
      <c r="Q25" s="91">
        <f t="shared" si="4"/>
        <v>0</v>
      </c>
      <c r="R25" s="91">
        <f t="shared" si="4"/>
        <v>0</v>
      </c>
      <c r="S25" s="91">
        <f t="shared" si="4"/>
        <v>0</v>
      </c>
      <c r="T25" s="91">
        <f t="shared" si="4"/>
        <v>0</v>
      </c>
      <c r="U25" s="91">
        <f t="shared" si="4"/>
        <v>0</v>
      </c>
      <c r="V25" s="91">
        <f t="shared" si="4"/>
        <v>0</v>
      </c>
      <c r="W25" s="91">
        <f t="shared" si="4"/>
        <v>0</v>
      </c>
      <c r="X25" s="91">
        <f t="shared" si="4"/>
        <v>0</v>
      </c>
      <c r="Y25" s="91">
        <f t="shared" si="4"/>
        <v>0</v>
      </c>
      <c r="Z25" s="91">
        <f t="shared" si="4"/>
        <v>0</v>
      </c>
      <c r="AA25" s="91">
        <f t="shared" si="4"/>
        <v>0</v>
      </c>
      <c r="AB25" s="91">
        <f t="shared" si="4"/>
        <v>0</v>
      </c>
      <c r="AC25" s="91">
        <f t="shared" si="4"/>
        <v>0</v>
      </c>
      <c r="AD25" s="91">
        <f t="shared" si="4"/>
        <v>0</v>
      </c>
      <c r="AE25" s="91">
        <f t="shared" si="4"/>
        <v>0</v>
      </c>
      <c r="AF25" s="91">
        <f t="shared" si="4"/>
        <v>0</v>
      </c>
      <c r="AG25" s="91">
        <f t="shared" si="4"/>
        <v>0</v>
      </c>
      <c r="AH25" s="91"/>
      <c r="AI25" s="92"/>
      <c r="AJ25" s="82"/>
      <c r="AL25" s="120"/>
    </row>
    <row r="26" spans="2:41" s="64" customFormat="1" ht="17.149999999999999" customHeight="1">
      <c r="B26" s="318" t="s">
        <v>4</v>
      </c>
      <c r="C26" s="319"/>
      <c r="D26" s="93">
        <f t="shared" ref="D26:AG26" si="5">SUM(D4:D23)</f>
        <v>0</v>
      </c>
      <c r="E26" s="93">
        <f t="shared" si="5"/>
        <v>0</v>
      </c>
      <c r="F26" s="93">
        <f t="shared" si="5"/>
        <v>0</v>
      </c>
      <c r="G26" s="93">
        <f t="shared" si="5"/>
        <v>0</v>
      </c>
      <c r="H26" s="93">
        <f t="shared" si="5"/>
        <v>0</v>
      </c>
      <c r="I26" s="93">
        <f t="shared" si="5"/>
        <v>0</v>
      </c>
      <c r="J26" s="93">
        <f t="shared" si="5"/>
        <v>0</v>
      </c>
      <c r="K26" s="93">
        <f t="shared" si="5"/>
        <v>0</v>
      </c>
      <c r="L26" s="93">
        <f t="shared" si="5"/>
        <v>0</v>
      </c>
      <c r="M26" s="93">
        <f t="shared" si="5"/>
        <v>0</v>
      </c>
      <c r="N26" s="93">
        <f t="shared" si="5"/>
        <v>0</v>
      </c>
      <c r="O26" s="93">
        <f t="shared" si="5"/>
        <v>0</v>
      </c>
      <c r="P26" s="93">
        <f t="shared" si="5"/>
        <v>0</v>
      </c>
      <c r="Q26" s="93">
        <f t="shared" si="5"/>
        <v>0</v>
      </c>
      <c r="R26" s="93">
        <f t="shared" si="5"/>
        <v>0</v>
      </c>
      <c r="S26" s="93">
        <f t="shared" si="5"/>
        <v>0</v>
      </c>
      <c r="T26" s="93">
        <f t="shared" si="5"/>
        <v>0</v>
      </c>
      <c r="U26" s="93">
        <f t="shared" si="5"/>
        <v>0</v>
      </c>
      <c r="V26" s="93">
        <f t="shared" si="5"/>
        <v>0</v>
      </c>
      <c r="W26" s="93">
        <f t="shared" si="5"/>
        <v>0</v>
      </c>
      <c r="X26" s="93">
        <f t="shared" si="5"/>
        <v>0</v>
      </c>
      <c r="Y26" s="93">
        <f t="shared" si="5"/>
        <v>0</v>
      </c>
      <c r="Z26" s="93">
        <f t="shared" si="5"/>
        <v>0</v>
      </c>
      <c r="AA26" s="93">
        <f t="shared" si="5"/>
        <v>0</v>
      </c>
      <c r="AB26" s="93">
        <f t="shared" si="5"/>
        <v>0</v>
      </c>
      <c r="AC26" s="93">
        <f t="shared" si="5"/>
        <v>0</v>
      </c>
      <c r="AD26" s="93">
        <f t="shared" si="5"/>
        <v>0</v>
      </c>
      <c r="AE26" s="93">
        <f t="shared" si="5"/>
        <v>0</v>
      </c>
      <c r="AF26" s="93">
        <f t="shared" si="5"/>
        <v>0</v>
      </c>
      <c r="AG26" s="93">
        <f t="shared" si="5"/>
        <v>0</v>
      </c>
      <c r="AH26" s="93">
        <f>SUM(AH4:AH23)</f>
        <v>0</v>
      </c>
      <c r="AI26" s="89">
        <f t="shared" si="3"/>
        <v>0</v>
      </c>
      <c r="AJ26" s="82"/>
      <c r="AK26" s="12"/>
      <c r="AL26" s="12"/>
      <c r="AM26" s="12"/>
      <c r="AN26" s="12"/>
      <c r="AO26" s="12"/>
    </row>
    <row r="27" spans="2:41" s="65" customFormat="1" ht="17.149999999999999" customHeight="1">
      <c r="B27" s="83" t="s">
        <v>56</v>
      </c>
      <c r="C27" s="84"/>
      <c r="D27" s="91"/>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2"/>
      <c r="AJ27" s="84"/>
      <c r="AK27" s="12"/>
      <c r="AL27" s="12"/>
      <c r="AM27" s="12"/>
      <c r="AN27" s="12"/>
      <c r="AO27" s="12"/>
    </row>
    <row r="28" spans="2:41" s="64" customFormat="1" ht="17.149999999999999" customHeight="1">
      <c r="B28" s="318" t="s">
        <v>5</v>
      </c>
      <c r="C28" s="319"/>
      <c r="D28" s="93">
        <f>SUM(D4:D24)</f>
        <v>0</v>
      </c>
      <c r="E28" s="93">
        <f t="shared" ref="E28:AG28" si="6">SUM(E4:E24)</f>
        <v>0</v>
      </c>
      <c r="F28" s="93">
        <f t="shared" si="6"/>
        <v>0</v>
      </c>
      <c r="G28" s="93">
        <f t="shared" si="6"/>
        <v>0</v>
      </c>
      <c r="H28" s="93">
        <f t="shared" si="6"/>
        <v>0</v>
      </c>
      <c r="I28" s="93">
        <f t="shared" si="6"/>
        <v>0</v>
      </c>
      <c r="J28" s="93">
        <f t="shared" si="6"/>
        <v>0</v>
      </c>
      <c r="K28" s="93">
        <f t="shared" si="6"/>
        <v>0</v>
      </c>
      <c r="L28" s="93">
        <f t="shared" si="6"/>
        <v>0</v>
      </c>
      <c r="M28" s="93">
        <f t="shared" si="6"/>
        <v>0</v>
      </c>
      <c r="N28" s="93">
        <f t="shared" si="6"/>
        <v>0</v>
      </c>
      <c r="O28" s="93">
        <f t="shared" si="6"/>
        <v>0</v>
      </c>
      <c r="P28" s="93">
        <f t="shared" si="6"/>
        <v>0</v>
      </c>
      <c r="Q28" s="93">
        <f t="shared" si="6"/>
        <v>0</v>
      </c>
      <c r="R28" s="93">
        <f t="shared" si="6"/>
        <v>0</v>
      </c>
      <c r="S28" s="93">
        <f t="shared" si="6"/>
        <v>0</v>
      </c>
      <c r="T28" s="93">
        <f t="shared" si="6"/>
        <v>0</v>
      </c>
      <c r="U28" s="93">
        <f t="shared" si="6"/>
        <v>0</v>
      </c>
      <c r="V28" s="93">
        <f t="shared" si="6"/>
        <v>0</v>
      </c>
      <c r="W28" s="93">
        <f t="shared" si="6"/>
        <v>0</v>
      </c>
      <c r="X28" s="93">
        <f t="shared" si="6"/>
        <v>0</v>
      </c>
      <c r="Y28" s="93">
        <f t="shared" si="6"/>
        <v>0</v>
      </c>
      <c r="Z28" s="93">
        <f t="shared" si="6"/>
        <v>0</v>
      </c>
      <c r="AA28" s="93">
        <f t="shared" si="6"/>
        <v>0</v>
      </c>
      <c r="AB28" s="93">
        <f t="shared" si="6"/>
        <v>0</v>
      </c>
      <c r="AC28" s="93">
        <f t="shared" si="6"/>
        <v>0</v>
      </c>
      <c r="AD28" s="93">
        <f t="shared" si="6"/>
        <v>0</v>
      </c>
      <c r="AE28" s="93">
        <f t="shared" si="6"/>
        <v>0</v>
      </c>
      <c r="AF28" s="93">
        <f t="shared" si="6"/>
        <v>0</v>
      </c>
      <c r="AG28" s="93">
        <f t="shared" si="6"/>
        <v>0</v>
      </c>
      <c r="AH28" s="93"/>
      <c r="AI28" s="89">
        <f t="shared" si="3"/>
        <v>0</v>
      </c>
      <c r="AJ28" s="82"/>
      <c r="AL28" s="119"/>
    </row>
    <row r="29" spans="2:41" ht="17.25" customHeight="1">
      <c r="B29" s="53" t="s">
        <v>56</v>
      </c>
      <c r="C29" s="54"/>
      <c r="D29" s="47"/>
      <c r="E29" s="47"/>
      <c r="F29" s="47"/>
      <c r="G29" s="47"/>
      <c r="H29" s="47"/>
      <c r="I29" s="47"/>
      <c r="J29" s="47"/>
      <c r="K29" s="47"/>
      <c r="L29" s="47"/>
      <c r="M29" s="47"/>
      <c r="N29" s="47"/>
      <c r="O29" s="47"/>
      <c r="P29" s="47"/>
      <c r="Q29" s="47"/>
      <c r="R29" s="47"/>
      <c r="S29" s="47"/>
      <c r="T29" s="47"/>
      <c r="U29" s="47"/>
      <c r="V29" s="55"/>
      <c r="W29" s="55"/>
      <c r="X29" s="55"/>
      <c r="Y29" s="55"/>
      <c r="Z29" s="55"/>
      <c r="AA29" s="55"/>
      <c r="AB29" s="55"/>
      <c r="AC29" s="55"/>
      <c r="AD29" s="55"/>
      <c r="AE29" s="55"/>
      <c r="AF29" s="55"/>
      <c r="AG29" s="55"/>
      <c r="AH29" s="55"/>
      <c r="AI29" s="56"/>
      <c r="AJ29" s="11"/>
    </row>
    <row r="30" spans="2:41" ht="17.25" customHeight="1">
      <c r="B30" s="101" t="s">
        <v>8</v>
      </c>
      <c r="C30" s="102"/>
      <c r="D30" s="102"/>
      <c r="E30" s="102"/>
      <c r="F30" s="102"/>
      <c r="G30" s="103" t="s">
        <v>9</v>
      </c>
      <c r="H30" s="102"/>
      <c r="I30" s="11"/>
      <c r="J30" s="57"/>
      <c r="K30" s="11"/>
      <c r="L30" s="75"/>
      <c r="M30" s="11"/>
      <c r="N30" s="11"/>
      <c r="O30" s="11"/>
      <c r="P30" s="11"/>
      <c r="Q30" s="331" t="str">
        <f>'Start page'!D30</f>
        <v>• Missing information – Enter Project Acronym/name</v>
      </c>
      <c r="R30" s="331"/>
      <c r="S30" s="331"/>
      <c r="T30" s="331"/>
      <c r="U30" s="331"/>
      <c r="V30" s="331"/>
      <c r="W30" s="331"/>
      <c r="X30" s="331"/>
      <c r="Y30" s="331"/>
      <c r="Z30" s="331"/>
      <c r="AA30" s="331"/>
      <c r="AB30" s="331"/>
      <c r="AC30" s="331"/>
      <c r="AD30" s="331"/>
      <c r="AE30" s="331"/>
      <c r="AF30" s="331"/>
      <c r="AG30" s="331"/>
      <c r="AH30" s="331"/>
      <c r="AI30" s="331"/>
      <c r="AJ30" s="58"/>
    </row>
    <row r="31" spans="2:41" ht="15.5">
      <c r="B31" s="104" t="s">
        <v>56</v>
      </c>
      <c r="C31" s="95"/>
      <c r="D31" s="95"/>
      <c r="E31" s="95"/>
      <c r="F31" s="102"/>
      <c r="G31" s="95"/>
      <c r="H31" s="95"/>
      <c r="I31" s="11"/>
      <c r="J31" s="47"/>
      <c r="K31" s="47"/>
      <c r="L31" s="76"/>
      <c r="M31" s="47"/>
      <c r="N31" s="47"/>
      <c r="O31" s="47"/>
      <c r="P31" s="47"/>
      <c r="Q31" s="331"/>
      <c r="R31" s="331"/>
      <c r="S31" s="331"/>
      <c r="T31" s="331"/>
      <c r="U31" s="331"/>
      <c r="V31" s="331"/>
      <c r="W31" s="331"/>
      <c r="X31" s="331"/>
      <c r="Y31" s="331"/>
      <c r="Z31" s="331"/>
      <c r="AA31" s="331"/>
      <c r="AB31" s="331"/>
      <c r="AC31" s="331"/>
      <c r="AD31" s="331"/>
      <c r="AE31" s="331"/>
      <c r="AF31" s="331"/>
      <c r="AG31" s="331"/>
      <c r="AH31" s="331"/>
      <c r="AI31" s="331"/>
      <c r="AJ31" s="325" t="s">
        <v>230</v>
      </c>
      <c r="AK31" s="326"/>
    </row>
    <row r="32" spans="2:41" ht="15.5">
      <c r="B32" s="105" t="s">
        <v>56</v>
      </c>
      <c r="C32" s="106"/>
      <c r="D32" s="106"/>
      <c r="E32" s="95"/>
      <c r="F32" s="102"/>
      <c r="G32" s="106"/>
      <c r="H32" s="107"/>
      <c r="I32" s="61"/>
      <c r="J32" s="61"/>
      <c r="K32" s="61"/>
      <c r="L32" s="61"/>
      <c r="M32" s="61"/>
      <c r="N32" s="61"/>
      <c r="O32" s="47"/>
      <c r="P32" s="47"/>
      <c r="Q32" s="65"/>
      <c r="R32" s="65"/>
      <c r="S32" s="47"/>
      <c r="T32" s="47"/>
      <c r="U32" s="47"/>
      <c r="V32" s="47"/>
      <c r="W32" s="47"/>
      <c r="X32" s="316"/>
      <c r="Y32" s="316"/>
      <c r="Z32" s="316"/>
      <c r="AA32" s="316"/>
      <c r="AB32" s="317"/>
      <c r="AC32" s="317"/>
      <c r="AD32" s="58"/>
      <c r="AE32" s="316"/>
      <c r="AF32" s="316"/>
      <c r="AG32" s="316"/>
      <c r="AH32" s="316"/>
      <c r="AI32" s="77"/>
      <c r="AJ32" s="195">
        <v>1</v>
      </c>
      <c r="AK32" s="196" t="s">
        <v>234</v>
      </c>
    </row>
    <row r="33" spans="2:37" ht="15.5">
      <c r="B33" s="108">
        <f>Member</f>
        <v>0</v>
      </c>
      <c r="C33" s="95"/>
      <c r="D33" s="95"/>
      <c r="E33" s="95"/>
      <c r="F33" s="102"/>
      <c r="G33" s="95">
        <f>Supervisor</f>
        <v>0</v>
      </c>
      <c r="H33" s="102"/>
      <c r="I33" s="11"/>
      <c r="J33" s="47"/>
      <c r="K33" s="47"/>
      <c r="L33" s="47"/>
      <c r="M33" s="47"/>
      <c r="N33" s="47"/>
      <c r="O33" s="47"/>
      <c r="P33" s="47"/>
      <c r="Q33" s="331" t="str">
        <f>'Start page'!D6</f>
        <v>• Missing information – Fill in all names and title/function on the Start Page</v>
      </c>
      <c r="R33" s="331"/>
      <c r="S33" s="331"/>
      <c r="T33" s="331"/>
      <c r="U33" s="331"/>
      <c r="V33" s="331"/>
      <c r="W33" s="331"/>
      <c r="X33" s="331"/>
      <c r="Y33" s="331"/>
      <c r="Z33" s="331"/>
      <c r="AA33" s="331"/>
      <c r="AB33" s="331"/>
      <c r="AC33" s="331"/>
      <c r="AD33" s="331"/>
      <c r="AE33" s="331"/>
      <c r="AF33" s="331"/>
      <c r="AG33" s="331"/>
      <c r="AH33" s="331"/>
      <c r="AI33" s="331"/>
      <c r="AJ33" s="197">
        <v>2</v>
      </c>
      <c r="AK33" s="198" t="s">
        <v>231</v>
      </c>
    </row>
    <row r="34" spans="2:37" ht="18.75" customHeight="1">
      <c r="B34" s="109">
        <f>Title.member</f>
        <v>0</v>
      </c>
      <c r="C34" s="102"/>
      <c r="D34" s="95"/>
      <c r="E34" s="102"/>
      <c r="F34" s="102"/>
      <c r="G34" s="102">
        <f>Title.supervisor</f>
        <v>0</v>
      </c>
      <c r="H34" s="95"/>
      <c r="I34" s="11"/>
      <c r="J34" s="60"/>
      <c r="K34" s="11"/>
      <c r="L34" s="11"/>
      <c r="M34" s="11"/>
      <c r="N34" s="11"/>
      <c r="O34" s="47"/>
      <c r="P34" s="47"/>
      <c r="Q34" s="65"/>
      <c r="R34" s="65"/>
      <c r="S34" s="47"/>
      <c r="T34" s="47"/>
      <c r="U34" s="47"/>
      <c r="V34" s="47"/>
      <c r="W34" s="47"/>
      <c r="X34" s="179"/>
      <c r="Y34" s="179"/>
      <c r="Z34" s="179"/>
      <c r="AA34" s="179"/>
      <c r="AB34" s="180"/>
      <c r="AC34" s="180"/>
      <c r="AD34" s="58"/>
      <c r="AE34" s="181"/>
      <c r="AF34" s="181"/>
      <c r="AG34" s="181"/>
      <c r="AH34" s="214"/>
      <c r="AI34" s="59"/>
      <c r="AJ34" s="62"/>
    </row>
    <row r="35" spans="2:37" ht="18.75" customHeight="1">
      <c r="B35" s="109" t="s">
        <v>72</v>
      </c>
      <c r="C35" s="102"/>
      <c r="D35" s="95"/>
      <c r="E35" s="102"/>
      <c r="F35" s="102"/>
      <c r="G35" s="102" t="s">
        <v>73</v>
      </c>
      <c r="H35" s="95"/>
      <c r="I35" s="11"/>
      <c r="J35" s="60"/>
      <c r="K35" s="11"/>
      <c r="L35" s="11"/>
      <c r="M35" s="11"/>
      <c r="N35" s="11"/>
      <c r="O35" s="47"/>
      <c r="P35" s="47"/>
      <c r="Q35" s="65"/>
      <c r="R35" s="65"/>
      <c r="S35" s="47"/>
      <c r="T35" s="47"/>
      <c r="U35" s="47"/>
      <c r="V35" s="47"/>
      <c r="W35" s="47"/>
      <c r="X35" s="316"/>
      <c r="Y35" s="316"/>
      <c r="Z35" s="316"/>
      <c r="AA35" s="316"/>
      <c r="AB35" s="317"/>
      <c r="AC35" s="317"/>
      <c r="AD35" s="58"/>
      <c r="AE35" s="320"/>
      <c r="AF35" s="320"/>
      <c r="AG35" s="320"/>
      <c r="AH35" s="320"/>
      <c r="AI35" s="59"/>
      <c r="AJ35" s="62"/>
    </row>
    <row r="36" spans="2:37" ht="12" customHeight="1">
      <c r="B36" s="109"/>
      <c r="C36" s="102"/>
      <c r="D36" s="95"/>
      <c r="E36" s="102"/>
      <c r="F36" s="102"/>
      <c r="G36" s="102"/>
      <c r="H36" s="95"/>
      <c r="I36" s="11"/>
      <c r="J36" s="60"/>
      <c r="K36" s="11"/>
      <c r="L36" s="11"/>
      <c r="M36" s="11"/>
      <c r="N36" s="11"/>
      <c r="O36" s="47"/>
      <c r="P36" s="47"/>
      <c r="Q36" s="65"/>
      <c r="R36" s="65"/>
      <c r="S36" s="47"/>
      <c r="T36" s="47"/>
      <c r="U36" s="47"/>
      <c r="V36" s="47"/>
      <c r="W36" s="47"/>
      <c r="X36" s="77"/>
      <c r="Y36" s="77"/>
      <c r="Z36" s="77"/>
      <c r="AA36" s="77"/>
      <c r="AB36" s="78"/>
      <c r="AC36" s="78"/>
      <c r="AD36" s="58"/>
      <c r="AE36" s="79"/>
      <c r="AF36" s="79"/>
      <c r="AG36" s="79"/>
      <c r="AH36" s="214"/>
      <c r="AI36" s="59"/>
      <c r="AJ36" s="62"/>
    </row>
    <row r="37" spans="2:37" ht="23.25" customHeight="1">
      <c r="B37" s="105" t="s">
        <v>56</v>
      </c>
      <c r="C37" s="95"/>
      <c r="D37" s="106"/>
      <c r="E37" s="102"/>
      <c r="F37" s="102"/>
      <c r="G37" s="106"/>
      <c r="H37" s="110" t="s">
        <v>56</v>
      </c>
      <c r="I37" s="61"/>
      <c r="J37" s="61"/>
      <c r="K37" s="61"/>
      <c r="L37" s="61"/>
      <c r="M37" s="61"/>
      <c r="N37" s="61"/>
      <c r="O37" s="47"/>
      <c r="P37" s="47"/>
      <c r="Q37" s="331" t="str">
        <f>'Start page'!D29</f>
        <v/>
      </c>
      <c r="R37" s="331"/>
      <c r="S37" s="331"/>
      <c r="T37" s="331"/>
      <c r="U37" s="331"/>
      <c r="V37" s="331"/>
      <c r="W37" s="331"/>
      <c r="X37" s="331"/>
      <c r="Y37" s="331"/>
      <c r="Z37" s="331"/>
      <c r="AA37" s="331"/>
      <c r="AB37" s="331"/>
      <c r="AC37" s="331"/>
      <c r="AD37" s="331"/>
      <c r="AE37" s="331"/>
      <c r="AF37" s="331"/>
      <c r="AG37" s="331"/>
      <c r="AH37" s="331"/>
      <c r="AI37" s="331"/>
      <c r="AJ37" s="47"/>
    </row>
    <row r="38" spans="2:37" ht="19.5" customHeight="1">
      <c r="B38" s="108" t="s">
        <v>1</v>
      </c>
      <c r="C38" s="108"/>
      <c r="D38" s="95"/>
      <c r="E38" s="102"/>
      <c r="F38" s="102"/>
      <c r="G38" s="95" t="s">
        <v>1</v>
      </c>
      <c r="H38" s="102"/>
      <c r="I38" s="47"/>
      <c r="J38" s="47"/>
      <c r="K38" s="47"/>
      <c r="L38" s="47"/>
      <c r="M38" s="47"/>
      <c r="N38" s="47"/>
      <c r="O38" s="47"/>
      <c r="P38" s="47"/>
      <c r="Q38" s="47"/>
      <c r="R38" s="65"/>
      <c r="S38" s="47"/>
      <c r="T38" s="47"/>
      <c r="U38" s="47"/>
      <c r="V38" s="47"/>
      <c r="W38" s="77"/>
      <c r="X38" s="77"/>
      <c r="Y38" s="77"/>
      <c r="Z38" s="77"/>
      <c r="AA38" s="79"/>
      <c r="AB38" s="79"/>
      <c r="AC38" s="77"/>
      <c r="AD38" s="77"/>
      <c r="AE38" s="77"/>
      <c r="AF38" s="77"/>
      <c r="AG38" s="77"/>
      <c r="AH38" s="213"/>
      <c r="AI38" s="47"/>
      <c r="AJ38" s="11"/>
    </row>
    <row r="39" spans="2:37" ht="14.5">
      <c r="B39" s="37" t="s">
        <v>56</v>
      </c>
      <c r="C39" s="37">
        <f>ROW()</f>
        <v>39</v>
      </c>
      <c r="D39" s="64"/>
      <c r="E39" s="64"/>
      <c r="F39" s="64"/>
      <c r="G39" s="64"/>
      <c r="H39" s="64"/>
      <c r="I39" s="64"/>
      <c r="J39" s="64"/>
      <c r="K39" s="64"/>
      <c r="L39" s="64"/>
      <c r="M39" s="64"/>
      <c r="N39" s="64"/>
      <c r="O39" s="64"/>
      <c r="P39" s="65"/>
      <c r="Q39" s="65"/>
      <c r="R39" s="65"/>
      <c r="S39" s="65"/>
      <c r="T39" s="65"/>
      <c r="U39" s="65"/>
      <c r="V39" s="65"/>
      <c r="W39" s="65"/>
      <c r="X39" s="65"/>
      <c r="Y39" s="65"/>
      <c r="Z39" s="65"/>
      <c r="AA39" s="65"/>
      <c r="AB39" s="65"/>
      <c r="AC39" s="314"/>
      <c r="AD39" s="322"/>
      <c r="AE39" s="322"/>
      <c r="AF39" s="322"/>
      <c r="AG39" s="322"/>
      <c r="AH39" s="322"/>
      <c r="AI39" s="65"/>
    </row>
    <row r="40" spans="2:37" ht="14.5">
      <c r="P40" s="34"/>
      <c r="Q40" s="34"/>
      <c r="R40" s="34"/>
      <c r="S40" s="34"/>
      <c r="T40" s="34"/>
      <c r="U40" s="34"/>
      <c r="V40" s="34"/>
      <c r="W40" s="34"/>
      <c r="X40" s="34"/>
      <c r="Y40" s="34"/>
      <c r="Z40" s="34"/>
      <c r="AA40" s="34"/>
      <c r="AB40" s="34"/>
      <c r="AC40" s="323"/>
      <c r="AD40" s="324"/>
      <c r="AE40" s="324"/>
      <c r="AF40" s="324"/>
      <c r="AG40" s="324"/>
      <c r="AH40" s="324"/>
      <c r="AI40" s="34"/>
    </row>
    <row r="41" spans="2:37" ht="14.5">
      <c r="B41" s="306" t="s">
        <v>235</v>
      </c>
      <c r="C41" s="307"/>
      <c r="D41" s="307"/>
      <c r="E41" s="307"/>
      <c r="F41" s="307"/>
      <c r="G41" s="308"/>
      <c r="H41" s="308"/>
      <c r="I41" s="309"/>
      <c r="J41" s="309"/>
      <c r="K41" s="309"/>
      <c r="L41" s="309"/>
      <c r="M41" s="309"/>
      <c r="N41" s="309"/>
      <c r="O41" s="310"/>
      <c r="P41" s="34"/>
      <c r="Q41" s="34"/>
      <c r="R41" s="34"/>
      <c r="S41" s="34"/>
      <c r="T41" s="34"/>
      <c r="U41" s="34"/>
      <c r="V41" s="34"/>
      <c r="W41" s="34"/>
      <c r="X41" s="34"/>
      <c r="Y41" s="34"/>
      <c r="Z41" s="34"/>
      <c r="AA41" s="34"/>
      <c r="AB41" s="34"/>
      <c r="AC41" s="314"/>
      <c r="AD41" s="315"/>
      <c r="AE41" s="315"/>
      <c r="AF41" s="315"/>
      <c r="AG41" s="315"/>
      <c r="AH41" s="315"/>
      <c r="AI41" s="34"/>
    </row>
    <row r="42" spans="2:37" ht="14.5">
      <c r="B42" s="311"/>
      <c r="C42" s="312"/>
      <c r="D42" s="312"/>
      <c r="E42" s="312"/>
      <c r="F42" s="312"/>
      <c r="G42" s="312"/>
      <c r="H42" s="312"/>
      <c r="I42" s="312"/>
      <c r="J42" s="312"/>
      <c r="K42" s="312"/>
      <c r="L42" s="312"/>
      <c r="M42" s="312"/>
      <c r="N42" s="312"/>
      <c r="O42" s="313"/>
      <c r="P42" s="34"/>
      <c r="Q42" s="34"/>
      <c r="R42" s="34"/>
      <c r="S42" s="34"/>
      <c r="T42" s="34"/>
      <c r="U42" s="34"/>
      <c r="V42" s="34"/>
      <c r="W42" s="34"/>
      <c r="X42" s="34"/>
      <c r="Y42" s="34"/>
      <c r="Z42" s="34"/>
      <c r="AA42" s="34"/>
      <c r="AB42" s="34"/>
      <c r="AC42" s="314"/>
      <c r="AD42" s="315"/>
      <c r="AE42" s="315"/>
      <c r="AF42" s="315"/>
      <c r="AG42" s="315"/>
      <c r="AH42" s="315"/>
      <c r="AI42" s="34"/>
    </row>
    <row r="43" spans="2:37" ht="14.5">
      <c r="P43" s="34"/>
      <c r="Q43" s="34"/>
      <c r="R43" s="34"/>
      <c r="S43" s="34"/>
      <c r="T43" s="34"/>
      <c r="U43" s="34"/>
      <c r="V43" s="34"/>
      <c r="W43" s="34"/>
      <c r="X43" s="34"/>
      <c r="Y43" s="34"/>
      <c r="Z43" s="34"/>
      <c r="AA43" s="34"/>
      <c r="AB43" s="34"/>
      <c r="AC43" s="34"/>
      <c r="AD43" s="34"/>
      <c r="AE43" s="34"/>
      <c r="AF43" s="34"/>
      <c r="AG43" s="34"/>
      <c r="AH43" s="34"/>
      <c r="AI43" s="34"/>
    </row>
    <row r="44" spans="2:37" ht="14.5">
      <c r="P44" s="34"/>
      <c r="Q44" s="34"/>
      <c r="R44" s="34"/>
      <c r="S44" s="34"/>
      <c r="T44" s="34"/>
      <c r="U44" s="34"/>
      <c r="V44" s="34"/>
      <c r="W44" s="34"/>
      <c r="X44" s="34"/>
      <c r="Y44" s="34"/>
      <c r="Z44" s="34"/>
      <c r="AA44" s="34"/>
      <c r="AB44" s="34"/>
      <c r="AC44" s="34"/>
      <c r="AD44" s="34"/>
      <c r="AE44" s="34"/>
      <c r="AF44" s="34"/>
      <c r="AG44" s="34"/>
      <c r="AH44" s="34"/>
      <c r="AI44" s="34"/>
    </row>
    <row r="45" spans="2:37" ht="14.5"/>
    <row r="46" spans="2:37" ht="14.5"/>
    <row r="47" spans="2:37" ht="14.5"/>
    <row r="48" spans="2:37" ht="14.5"/>
    <row r="49" ht="14.5"/>
    <row r="50" ht="14.5"/>
    <row r="51" ht="14.5"/>
    <row r="52" ht="14.5"/>
    <row r="53" ht="14.5"/>
    <row r="54" ht="14.5"/>
    <row r="55" ht="14.5"/>
    <row r="56" ht="14.5"/>
    <row r="57" ht="14.5"/>
    <row r="58" ht="14.5"/>
    <row r="59" ht="14.5"/>
    <row r="60" ht="14.5"/>
    <row r="61" ht="14.5"/>
    <row r="62" ht="14.5"/>
    <row r="63" ht="14.5"/>
    <row r="64" ht="14.5"/>
    <row r="65" ht="14.5"/>
    <row r="66" ht="14.5"/>
    <row r="67" ht="14.5"/>
    <row r="68" ht="14.5"/>
    <row r="69" ht="14.5"/>
    <row r="70" ht="14.5"/>
    <row r="71" ht="14.5"/>
    <row r="72" ht="14.5"/>
    <row r="73" ht="14.5"/>
    <row r="74" ht="14.5"/>
    <row r="75" ht="14.5"/>
    <row r="76" ht="14.5"/>
    <row r="77" ht="14.5"/>
    <row r="78" ht="14.5"/>
    <row r="79" ht="14.5"/>
    <row r="80" ht="14.5"/>
    <row r="81" ht="14.5"/>
    <row r="82" ht="14.5"/>
    <row r="83" ht="14.5"/>
    <row r="84" ht="14.5"/>
    <row r="85" ht="14.5"/>
    <row r="86" ht="14.5"/>
    <row r="87" ht="14.5"/>
    <row r="88" ht="14.5"/>
    <row r="89" ht="14.5"/>
    <row r="90" ht="14.5"/>
    <row r="91" ht="14.5"/>
    <row r="92" ht="14.5"/>
    <row r="93" ht="14.5"/>
    <row r="94" ht="14.5"/>
    <row r="95" ht="14.5"/>
    <row r="96" ht="14.5"/>
    <row r="97" ht="14.5"/>
    <row r="98" ht="14.5"/>
    <row r="99" ht="14.5"/>
    <row r="100" ht="14.5"/>
    <row r="101" ht="14.5"/>
    <row r="102" ht="14.5"/>
    <row r="103" ht="14.5"/>
    <row r="104" ht="14.5"/>
    <row r="105" ht="14.5"/>
    <row r="106" ht="14.5"/>
    <row r="107" ht="14.5"/>
    <row r="108" ht="14.5"/>
    <row r="109" ht="14.5"/>
    <row r="110" ht="14.5"/>
    <row r="111" ht="14.5"/>
    <row r="112" ht="14.5"/>
    <row r="113" ht="14.5"/>
    <row r="114" ht="14.5"/>
    <row r="115" ht="14.5"/>
    <row r="116" ht="14.5"/>
    <row r="117" ht="14.5"/>
    <row r="118" ht="14.5"/>
    <row r="119" ht="14.5"/>
    <row r="120" ht="14.5"/>
    <row r="121" ht="14.5"/>
    <row r="122" ht="14.5"/>
    <row r="123" ht="14.5"/>
    <row r="124" ht="14.5"/>
    <row r="125" ht="14.5"/>
    <row r="126" ht="14.5"/>
    <row r="127" ht="14.5"/>
    <row r="128" ht="14.5"/>
    <row r="129" ht="14.5"/>
    <row r="130" ht="14.5"/>
    <row r="131" ht="14.5"/>
    <row r="132" ht="14.5"/>
    <row r="133" ht="14.5"/>
    <row r="134" ht="14.5"/>
    <row r="135" ht="14.5"/>
    <row r="136" ht="14.5"/>
    <row r="137" ht="14.5"/>
    <row r="138" ht="14.5"/>
    <row r="139" ht="14.5"/>
    <row r="140" ht="14.5"/>
    <row r="141" ht="14.5"/>
    <row r="142" ht="14.5"/>
    <row r="143" ht="14.5"/>
    <row r="144" ht="14.5"/>
    <row r="145" ht="14.5"/>
    <row r="146" ht="14.5"/>
    <row r="147" ht="14.5"/>
    <row r="148" ht="14.5"/>
    <row r="149" ht="14.5"/>
    <row r="150" ht="14.5"/>
    <row r="151" ht="14.5"/>
    <row r="152" ht="14.5"/>
    <row r="153" ht="14.5"/>
    <row r="154" ht="14.5"/>
    <row r="155" ht="14.5"/>
    <row r="156" ht="14.5"/>
    <row r="157" ht="14.5"/>
    <row r="158" ht="14.5"/>
    <row r="159" ht="14.5"/>
    <row r="160" ht="15" customHeight="1"/>
    <row r="161" ht="15" customHeight="1"/>
    <row r="162" ht="15" customHeight="1"/>
    <row r="163" ht="15" customHeight="1"/>
    <row r="164" ht="15" customHeight="1"/>
  </sheetData>
  <sheetProtection algorithmName="SHA-512" hashValue="PCdoS3wJsaQUcu3JrFLMlBi0ljDsrIoQCVqq+mioeCE5qr0auDppZFFOGbdmtQ3BBi/+69Zcjo7LtnuoAXJk9w==" saltValue="DThJmLRXjKDPLwHQ+CABYA==" spinCount="100000" sheet="1" selectLockedCells="1"/>
  <mergeCells count="38">
    <mergeCell ref="B41:O42"/>
    <mergeCell ref="AJ31:AK31"/>
    <mergeCell ref="B8:C8"/>
    <mergeCell ref="B4:C4"/>
    <mergeCell ref="B5:C5"/>
    <mergeCell ref="B6:C6"/>
    <mergeCell ref="B7:C7"/>
    <mergeCell ref="B20:C20"/>
    <mergeCell ref="B9:C9"/>
    <mergeCell ref="B10:C10"/>
    <mergeCell ref="B11:C11"/>
    <mergeCell ref="B12:C12"/>
    <mergeCell ref="B13:C13"/>
    <mergeCell ref="B14:C14"/>
    <mergeCell ref="B15:C15"/>
    <mergeCell ref="B16:C16"/>
    <mergeCell ref="B17:C17"/>
    <mergeCell ref="B18:C18"/>
    <mergeCell ref="B19:C19"/>
    <mergeCell ref="B21:C21"/>
    <mergeCell ref="B22:C22"/>
    <mergeCell ref="X35:AA35"/>
    <mergeCell ref="AB35:AC35"/>
    <mergeCell ref="AE35:AH35"/>
    <mergeCell ref="B23:C23"/>
    <mergeCell ref="B26:C26"/>
    <mergeCell ref="X32:AA32"/>
    <mergeCell ref="AB32:AC32"/>
    <mergeCell ref="AE32:AH32"/>
    <mergeCell ref="Q33:AI33"/>
    <mergeCell ref="B28:C28"/>
    <mergeCell ref="Q31:AI31"/>
    <mergeCell ref="Q30:AI30"/>
    <mergeCell ref="AC40:AH40"/>
    <mergeCell ref="AC41:AH41"/>
    <mergeCell ref="AC42:AH42"/>
    <mergeCell ref="AC39:AH39"/>
    <mergeCell ref="Q37:AI37"/>
  </mergeCells>
  <conditionalFormatting sqref="D4:AH23">
    <cfRule type="expression" dxfId="165" priority="31">
      <formula>D$2</formula>
    </cfRule>
  </conditionalFormatting>
  <conditionalFormatting sqref="J4:N23">
    <cfRule type="expression" dxfId="164" priority="32">
      <formula>J$2</formula>
    </cfRule>
  </conditionalFormatting>
  <conditionalFormatting sqref="D3:AH3">
    <cfRule type="expression" dxfId="163" priority="30">
      <formula>MATCH(D3,INDIRECT("Fixed_weekdays[DateInYear]"),0)&gt;0</formula>
    </cfRule>
  </conditionalFormatting>
  <conditionalFormatting sqref="D3:AH3">
    <cfRule type="expression" dxfId="162" priority="29">
      <formula>MATCH(D3,INDIRECT("Fixed_dates[DateInYear]"),0)&gt;0</formula>
    </cfRule>
  </conditionalFormatting>
  <conditionalFormatting sqref="D3:AH3">
    <cfRule type="expression" dxfId="161" priority="28">
      <formula>AND(INDEX(INDIRECT("Shortened[WorkHours]"),MATCH(D3,INDIRECT("Shortened[DateInYear]"),0),0)&gt;0,INDEX(INDIRECT("Shortened[WorkHours]"),MATCH(D3,INDIRECT("Shortened[DateInYear]"),0),0)&lt;8)</formula>
    </cfRule>
  </conditionalFormatting>
  <conditionalFormatting sqref="D3:AH3">
    <cfRule type="expression" dxfId="160" priority="27">
      <formula>AND(INDEX(INDIRECT("Clamp[WorkHours]"),MATCH(C3,INDIRECT("Clamp[DateInYear]"),0),0)&gt;0,INDEX(INDIRECT("Clamp[WorkHours]"),MATCH(C3,INDIRECT("Clamp[DateInYear]"),0),0)&lt;8)</formula>
    </cfRule>
  </conditionalFormatting>
  <conditionalFormatting sqref="D3:AH3">
    <cfRule type="expression" dxfId="159" priority="25">
      <formula>INDEX(INDIRECT("Shortened[WorkHours]"),MATCH(D3,INDIRECT("Shortened[DateInYear]"),0),0)&gt;7</formula>
    </cfRule>
    <cfRule type="expression" dxfId="158" priority="26">
      <formula>INDEX(INDIRECT("Clamp[WorkHours]"),MATCH(D3,INDIRECT("Clamp[DateInYear]"),0),0)&gt;7</formula>
    </cfRule>
  </conditionalFormatting>
  <conditionalFormatting sqref="D3:AH3">
    <cfRule type="expression" dxfId="157" priority="24">
      <formula>OR(WEEKDAY(D3,2)=6,WEEKDAY(D3,2)=7)</formula>
    </cfRule>
  </conditionalFormatting>
  <conditionalFormatting sqref="J18:J22">
    <cfRule type="expression" dxfId="156" priority="23">
      <formula>J$2</formula>
    </cfRule>
  </conditionalFormatting>
  <conditionalFormatting sqref="B4:C22">
    <cfRule type="containsText" dxfId="155" priority="15" operator="containsText" text="Other US">
      <formula>NOT(ISERROR(SEARCH("Other US",B4)))</formula>
    </cfRule>
    <cfRule type="containsText" dxfId="154" priority="16" operator="containsText" text="US Army">
      <formula>NOT(ISERROR(SEARCH("US Army",B4)))</formula>
    </cfRule>
    <cfRule type="containsText" dxfId="153" priority="18" operator="containsText" text="NIH">
      <formula>NOT(ISERROR(SEARCH("NIH",B4)))</formula>
    </cfRule>
    <cfRule type="containsText" dxfId="152" priority="19" operator="containsText" text="FP7">
      <formula>NOT(ISERROR(SEARCH("FP7",B4)))</formula>
    </cfRule>
    <cfRule type="containsText" dxfId="151" priority="20" operator="containsText" text="H2020">
      <formula>NOT(ISERROR(SEARCH("H2020",B4)))</formula>
    </cfRule>
    <cfRule type="containsText" dxfId="150" priority="21" operator="containsText" text="Sida">
      <formula>NOT(ISERROR(SEARCH("Sida",B4)))</formula>
    </cfRule>
    <cfRule type="containsText" dxfId="149" priority="22" operator="containsText" text="Other">
      <formula>NOT(ISERROR(SEARCH("Other",B4)))</formula>
    </cfRule>
  </conditionalFormatting>
  <conditionalFormatting sqref="D25:AG25">
    <cfRule type="iconSet" priority="10">
      <iconSet iconSet="3Flags">
        <cfvo type="percent" val="0"/>
        <cfvo type="percent" val="33"/>
        <cfvo type="percent" val="67"/>
      </iconSet>
    </cfRule>
  </conditionalFormatting>
  <conditionalFormatting sqref="D25:AG25">
    <cfRule type="iconSet" priority="9">
      <iconSet iconSet="3Flags">
        <cfvo type="percent" val="0"/>
        <cfvo type="percent" val="33"/>
        <cfvo type="percent" val="67"/>
      </iconSet>
    </cfRule>
  </conditionalFormatting>
  <conditionalFormatting sqref="AJ31">
    <cfRule type="expression" dxfId="148" priority="5">
      <formula>AK$2</formula>
    </cfRule>
  </conditionalFormatting>
  <conditionalFormatting sqref="D26:AG26">
    <cfRule type="cellIs" dxfId="147" priority="1" operator="greaterThan">
      <formula>24</formula>
    </cfRule>
    <cfRule type="cellIs" dxfId="146" priority="2" operator="greaterThan">
      <formula>14</formula>
    </cfRule>
  </conditionalFormatting>
  <dataValidations count="1">
    <dataValidation type="decimal" allowBlank="1" showInputMessage="1" showErrorMessage="1" errorTitle="ERROR !" error="You may report min 0,5 and max 24 hrs per WP or Project" sqref="D4:AG23" xr:uid="{00000000-0002-0000-0900-000000000000}">
      <formula1>0.5</formula1>
      <formula2>24</formula2>
    </dataValidation>
  </dataValidations>
  <printOptions horizontalCentered="1" verticalCentered="1"/>
  <pageMargins left="0.7" right="0.7" top="1.2072916666666667" bottom="0.75" header="0.45652173913043476" footer="0.3"/>
  <pageSetup paperSize="9" scale="52" orientation="landscape" r:id="rId1"/>
  <headerFooter>
    <oddHeader>&amp;L&amp;G&amp;C&amp;24TIMESHEET</oddHeader>
  </headerFooter>
  <legacyDrawingHF r:id="rId2"/>
  <extLst>
    <ext xmlns:x14="http://schemas.microsoft.com/office/spreadsheetml/2009/9/main" uri="{78C0D931-6437-407d-A8EE-F0AAD7539E65}">
      <x14:conditionalFormattings>
        <x14:conditionalFormatting xmlns:xm="http://schemas.microsoft.com/office/excel/2006/main">
          <x14:cfRule type="containsText" priority="17" operator="containsText" id="{92F2C00D-17E6-46C6-96A4-4439095F70C6}">
            <xm:f>NOT(ISERROR(SEARCH("Non-project",B4)))</xm:f>
            <xm:f>"Non-project"</xm:f>
            <x14:dxf>
              <fill>
                <patternFill>
                  <bgColor theme="6" tint="0.59996337778862885"/>
                </patternFill>
              </fill>
            </x14:dxf>
          </x14:cfRule>
          <xm:sqref>B4:C22</xm:sqref>
        </x14:conditionalFormatting>
        <x14:conditionalFormatting xmlns:xm="http://schemas.microsoft.com/office/excel/2006/main">
          <x14:cfRule type="iconSet" priority="8" id="{E0F0FBE7-A4A4-4807-BF05-705BE50241E3}">
            <x14:iconSet iconSet="3Flags" showValue="0" custom="1">
              <x14:cfvo type="percent">
                <xm:f>0</xm:f>
              </x14:cfvo>
              <x14:cfvo type="num" gte="0">
                <xm:f>14</xm:f>
              </x14:cfvo>
              <x14:cfvo type="num" gte="0">
                <xm:f>24</xm:f>
              </x14:cfvo>
              <x14:cfIcon iconSet="NoIcons" iconId="0"/>
              <x14:cfIcon iconSet="3Flags" iconId="1"/>
              <x14:cfIcon iconSet="3Flags" iconId="0"/>
            </x14:iconSet>
          </x14:cfRule>
          <xm:sqref>D25:AG25</xm:sqref>
        </x14:conditionalFormatting>
        <x14:conditionalFormatting xmlns:xm="http://schemas.microsoft.com/office/excel/2006/main">
          <x14:cfRule type="iconSet" priority="4" id="{C5579A5B-5017-4774-B2F8-88DFB89142FB}">
            <x14:iconSet iconSet="3Flags" showValue="0" custom="1">
              <x14:cfvo type="percent">
                <xm:f>0</xm:f>
              </x14:cfvo>
              <x14:cfvo type="num">
                <xm:f>0</xm:f>
              </x14:cfvo>
              <x14:cfvo type="num" gte="0">
                <xm:f>0</xm:f>
              </x14:cfvo>
              <x14:cfIcon iconSet="NoIcons" iconId="0"/>
              <x14:cfIcon iconSet="NoIcons" iconId="0"/>
              <x14:cfIcon iconSet="3Flags" iconId="1"/>
            </x14:iconSet>
          </x14:cfRule>
          <xm:sqref>AJ32</xm:sqref>
        </x14:conditionalFormatting>
        <x14:conditionalFormatting xmlns:xm="http://schemas.microsoft.com/office/excel/2006/main">
          <x14:cfRule type="iconSet" priority="3" id="{45BAE176-B485-413A-A834-0DBFE450074E}">
            <x14:iconSet iconSet="3Flags" showValue="0" custom="1">
              <x14:cfvo type="percent">
                <xm:f>0</xm:f>
              </x14:cfvo>
              <x14:cfvo type="num">
                <xm:f>0</xm:f>
              </x14:cfvo>
              <x14:cfvo type="num" gte="0">
                <xm:f>0</xm:f>
              </x14:cfvo>
              <x14:cfIcon iconSet="NoIcons" iconId="0"/>
              <x14:cfIcon iconSet="NoIcons" iconId="0"/>
              <x14:cfIcon iconSet="3Flags" iconId="0"/>
            </x14:iconSet>
          </x14:cfRule>
          <xm:sqref>AJ33</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8">
    <tabColor theme="5" tint="-0.249977111117893"/>
    <pageSetUpPr fitToPage="1"/>
  </sheetPr>
  <dimension ref="B1:AO164"/>
  <sheetViews>
    <sheetView showGridLines="0" showZeros="0" zoomScale="40" zoomScaleNormal="40" zoomScaleSheetLayoutView="55" workbookViewId="0">
      <selection activeCell="D4" sqref="D4"/>
    </sheetView>
  </sheetViews>
  <sheetFormatPr defaultColWidth="0" defaultRowHeight="15" customHeight="1" zeroHeight="1"/>
  <cols>
    <col min="1" max="1" width="1.54296875" style="12" customWidth="1"/>
    <col min="2" max="3" width="25.7265625" style="12" customWidth="1"/>
    <col min="4" max="34" width="5.26953125" style="12" customWidth="1"/>
    <col min="35" max="35" width="8.26953125" style="12" customWidth="1"/>
    <col min="36" max="36" width="8.1796875" style="12" bestFit="1" customWidth="1"/>
    <col min="37" max="37" width="29.26953125" style="12" customWidth="1"/>
    <col min="38" max="38" width="5.7265625" style="118" customWidth="1"/>
    <col min="39" max="16383" width="9.1796875" style="12" customWidth="1"/>
    <col min="16384" max="16384" width="2.1796875" style="12" customWidth="1"/>
  </cols>
  <sheetData>
    <row r="1" spans="2:38" ht="21">
      <c r="B1" s="96" t="s">
        <v>80</v>
      </c>
      <c r="C1" s="96">
        <f>Year</f>
        <v>2021</v>
      </c>
      <c r="D1" s="97"/>
      <c r="E1" s="97"/>
      <c r="F1" s="97"/>
      <c r="G1" s="97"/>
      <c r="H1" s="97"/>
      <c r="I1" s="97"/>
      <c r="J1" s="97"/>
      <c r="K1" s="97"/>
      <c r="L1" s="97"/>
      <c r="M1" s="97"/>
      <c r="N1" s="114"/>
      <c r="O1" s="97"/>
      <c r="P1" s="98" t="s">
        <v>6</v>
      </c>
      <c r="Q1" s="99">
        <f>Member</f>
        <v>0</v>
      </c>
      <c r="R1" s="97"/>
      <c r="S1" s="48"/>
      <c r="T1" s="48"/>
      <c r="U1" s="48"/>
      <c r="V1" s="48"/>
      <c r="W1" s="48"/>
      <c r="X1" s="48"/>
      <c r="Y1" s="48"/>
      <c r="Z1" s="48"/>
      <c r="AA1" s="48"/>
      <c r="AB1" s="48"/>
      <c r="AC1" s="115"/>
      <c r="AD1" s="48"/>
      <c r="AE1" s="34"/>
      <c r="AF1" s="48"/>
      <c r="AG1" s="48"/>
      <c r="AH1" s="48"/>
      <c r="AI1" s="34"/>
      <c r="AJ1" s="34"/>
    </row>
    <row r="2" spans="2:38" ht="12.75" customHeight="1">
      <c r="B2" s="36"/>
      <c r="C2" s="50">
        <f>C39</f>
        <v>39</v>
      </c>
      <c r="D2" s="50" t="b">
        <f ca="1">OR(OR(WEEKDAY(D3,2)=6,WEEKDAY(D3,2)=7),IFERROR(INDEX(INDIRECT("Shortened[WorkHours]"),MATCH(D3,INDIRECT("Shortened[DateInYear]"),0),0),0)&gt;7,IFERROR(INDEX(INDIRECT("Clamp[WorkHours]"),MATCH(D3,INDIRECT("Clamp[DateInYear]"),0),0),0)&gt;7,IFERROR(MATCH(D3,INDIRECT("Fixed_dates[DateInYear]"),0),0)&gt;0,IFERROR(MATCH(D3,INDIRECT("Fixed_weekdays[DateInYear]"),0),0)&gt;0)</f>
        <v>0</v>
      </c>
      <c r="E2" s="50" t="b">
        <f t="shared" ref="E2:AH2" ca="1" si="0">OR(OR(WEEKDAY(E3,2)=6,WEEKDAY(E3,2)=7),IFERROR(INDEX(INDIRECT("Shortened[WorkHours]"),MATCH(E3,INDIRECT("Shortened[DateInYear]"),0),0),0)&gt;7,IFERROR(INDEX(INDIRECT("Clamp[WorkHours]"),MATCH(E3,INDIRECT("Clamp[DateInYear]"),0),0),0)&gt;7,IFERROR(MATCH(E3,INDIRECT("Fixed_dates[DateInYear]"),0),0)&gt;0,IFERROR(MATCH(E3,INDIRECT("Fixed_weekdays[DateInYear]"),0),0)&gt;0)</f>
        <v>0</v>
      </c>
      <c r="F2" s="50" t="b">
        <f t="shared" ca="1" si="0"/>
        <v>1</v>
      </c>
      <c r="G2" s="50" t="b">
        <f t="shared" ca="1" si="0"/>
        <v>1</v>
      </c>
      <c r="H2" s="50" t="b">
        <f t="shared" ca="1" si="0"/>
        <v>0</v>
      </c>
      <c r="I2" s="50" t="b">
        <f t="shared" ca="1" si="0"/>
        <v>0</v>
      </c>
      <c r="J2" s="50" t="b">
        <f t="shared" ca="1" si="0"/>
        <v>0</v>
      </c>
      <c r="K2" s="50" t="b">
        <f t="shared" ca="1" si="0"/>
        <v>0</v>
      </c>
      <c r="L2" s="50" t="b">
        <f t="shared" ca="1" si="0"/>
        <v>0</v>
      </c>
      <c r="M2" s="50" t="b">
        <f t="shared" ca="1" si="0"/>
        <v>1</v>
      </c>
      <c r="N2" s="50" t="b">
        <f t="shared" ca="1" si="0"/>
        <v>1</v>
      </c>
      <c r="O2" s="50" t="b">
        <f t="shared" ca="1" si="0"/>
        <v>0</v>
      </c>
      <c r="P2" s="50" t="b">
        <f t="shared" ca="1" si="0"/>
        <v>0</v>
      </c>
      <c r="Q2" s="50" t="b">
        <f t="shared" ca="1" si="0"/>
        <v>0</v>
      </c>
      <c r="R2" s="116" t="b">
        <f t="shared" ca="1" si="0"/>
        <v>0</v>
      </c>
      <c r="S2" s="50" t="b">
        <f t="shared" ca="1" si="0"/>
        <v>0</v>
      </c>
      <c r="T2" s="50" t="b">
        <f t="shared" ca="1" si="0"/>
        <v>1</v>
      </c>
      <c r="U2" s="50" t="b">
        <f t="shared" ca="1" si="0"/>
        <v>1</v>
      </c>
      <c r="V2" s="50" t="b">
        <f t="shared" ca="1" si="0"/>
        <v>0</v>
      </c>
      <c r="W2" s="50" t="b">
        <f t="shared" ca="1" si="0"/>
        <v>0</v>
      </c>
      <c r="X2" s="50" t="b">
        <f t="shared" ca="1" si="0"/>
        <v>0</v>
      </c>
      <c r="Y2" s="50" t="b">
        <f t="shared" ca="1" si="0"/>
        <v>0</v>
      </c>
      <c r="Z2" s="50" t="b">
        <f t="shared" ca="1" si="0"/>
        <v>0</v>
      </c>
      <c r="AA2" s="50" t="b">
        <f t="shared" ca="1" si="0"/>
        <v>1</v>
      </c>
      <c r="AB2" s="50" t="b">
        <f t="shared" ca="1" si="0"/>
        <v>1</v>
      </c>
      <c r="AC2" s="50" t="b">
        <f t="shared" ca="1" si="0"/>
        <v>0</v>
      </c>
      <c r="AD2" s="50" t="b">
        <f t="shared" ca="1" si="0"/>
        <v>0</v>
      </c>
      <c r="AE2" s="50" t="b">
        <f t="shared" ca="1" si="0"/>
        <v>0</v>
      </c>
      <c r="AF2" s="50" t="b">
        <f ca="1">OR(OR(WEEKDAY(AF3,2)=6,WEEKDAY(AF3,2)=7),IFERROR(INDEX(INDIRECT("Shortened[WorkHours]"),MATCH(AF3,INDIRECT("Shortened[DateInYear]"),0),0),0)&gt;7,IFERROR(INDEX(INDIRECT("Clamp[WorkHours]"),MATCH(AF3,INDIRECT("Clamp[DateInYear]"),0),0),0)&gt;7,IFERROR(MATCH(AF3,INDIRECT("Fixed_dates[DateInYear]"),0),0)&gt;0,IFERROR(MATCH(AF3,INDIRECT("Fixed_weekdays[DateInYear]"),0),0)&gt;0)</f>
        <v>0</v>
      </c>
      <c r="AG2" s="50" t="b">
        <f t="shared" ca="1" si="0"/>
        <v>0</v>
      </c>
      <c r="AH2" s="50" t="b">
        <f t="shared" ca="1" si="0"/>
        <v>1</v>
      </c>
      <c r="AI2" s="100"/>
      <c r="AJ2" s="117"/>
    </row>
    <row r="3" spans="2:38" ht="17.149999999999999" customHeight="1">
      <c r="B3" s="85" t="s">
        <v>74</v>
      </c>
      <c r="C3" s="86"/>
      <c r="D3" s="87">
        <f>DATEVALUE(AloxÅr&amp;"-"&amp;VLOOKUP(LEFT(B1,3),Holidays!$M$4:$N$15,2,0)&amp;"-1")</f>
        <v>44378</v>
      </c>
      <c r="E3" s="87">
        <f>DATE(YEAR(D3),MONTH(D3),DAY(D3)+1)</f>
        <v>44379</v>
      </c>
      <c r="F3" s="87">
        <f t="shared" ref="F3:AH3" si="1">DATE(YEAR(E3),MONTH(E3),DAY(E3)+1)</f>
        <v>44380</v>
      </c>
      <c r="G3" s="87">
        <f t="shared" si="1"/>
        <v>44381</v>
      </c>
      <c r="H3" s="87">
        <f t="shared" si="1"/>
        <v>44382</v>
      </c>
      <c r="I3" s="87">
        <f t="shared" si="1"/>
        <v>44383</v>
      </c>
      <c r="J3" s="87">
        <f t="shared" si="1"/>
        <v>44384</v>
      </c>
      <c r="K3" s="87">
        <f t="shared" si="1"/>
        <v>44385</v>
      </c>
      <c r="L3" s="87">
        <f t="shared" si="1"/>
        <v>44386</v>
      </c>
      <c r="M3" s="87">
        <f t="shared" si="1"/>
        <v>44387</v>
      </c>
      <c r="N3" s="87">
        <f t="shared" si="1"/>
        <v>44388</v>
      </c>
      <c r="O3" s="87">
        <f t="shared" si="1"/>
        <v>44389</v>
      </c>
      <c r="P3" s="87">
        <f t="shared" si="1"/>
        <v>44390</v>
      </c>
      <c r="Q3" s="87">
        <f t="shared" si="1"/>
        <v>44391</v>
      </c>
      <c r="R3" s="87">
        <f t="shared" si="1"/>
        <v>44392</v>
      </c>
      <c r="S3" s="87">
        <f t="shared" si="1"/>
        <v>44393</v>
      </c>
      <c r="T3" s="87">
        <f t="shared" si="1"/>
        <v>44394</v>
      </c>
      <c r="U3" s="87">
        <f t="shared" si="1"/>
        <v>44395</v>
      </c>
      <c r="V3" s="87">
        <f t="shared" si="1"/>
        <v>44396</v>
      </c>
      <c r="W3" s="87">
        <f t="shared" si="1"/>
        <v>44397</v>
      </c>
      <c r="X3" s="87">
        <f t="shared" si="1"/>
        <v>44398</v>
      </c>
      <c r="Y3" s="87">
        <f t="shared" si="1"/>
        <v>44399</v>
      </c>
      <c r="Z3" s="87">
        <f t="shared" si="1"/>
        <v>44400</v>
      </c>
      <c r="AA3" s="87">
        <f t="shared" si="1"/>
        <v>44401</v>
      </c>
      <c r="AB3" s="87">
        <f t="shared" si="1"/>
        <v>44402</v>
      </c>
      <c r="AC3" s="87">
        <f t="shared" si="1"/>
        <v>44403</v>
      </c>
      <c r="AD3" s="87">
        <f t="shared" si="1"/>
        <v>44404</v>
      </c>
      <c r="AE3" s="87">
        <f t="shared" si="1"/>
        <v>44405</v>
      </c>
      <c r="AF3" s="87">
        <f t="shared" si="1"/>
        <v>44406</v>
      </c>
      <c r="AG3" s="87">
        <f t="shared" si="1"/>
        <v>44407</v>
      </c>
      <c r="AH3" s="87">
        <f t="shared" si="1"/>
        <v>44408</v>
      </c>
      <c r="AI3" s="113" t="s">
        <v>3</v>
      </c>
      <c r="AJ3" s="184" t="s">
        <v>97</v>
      </c>
      <c r="AK3" s="183" t="s">
        <v>213</v>
      </c>
    </row>
    <row r="4" spans="2:38" s="64" customFormat="1" ht="17.149999999999999" customHeight="1">
      <c r="B4" s="327" t="str">
        <f>IFERROR(Project.01&amp;" "&amp;WP.01&amp;" "&amp;Contract.01&amp;" "&amp;Type.01&amp;" "&amp;Activity.01," ")</f>
        <v xml:space="preserve">    </v>
      </c>
      <c r="C4" s="327"/>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9">
        <f t="shared" ref="AI4:AI23" si="2">SUM(D4:AH4)</f>
        <v>0</v>
      </c>
      <c r="AJ4" s="185" t="str">
        <f t="shared" ref="AJ4:AJ23" si="3">IFERROR(AI4/$AI$26,"")</f>
        <v/>
      </c>
      <c r="AK4" s="188"/>
      <c r="AL4" s="119"/>
    </row>
    <row r="5" spans="2:38" s="64" customFormat="1" ht="17.149999999999999" customHeight="1">
      <c r="B5" s="327" t="str">
        <f>IFERROR(Project.02&amp;" "&amp;WP.02&amp;" "&amp;Contract.02&amp;" "&amp;Type.02&amp;" "&amp;Activity.02," ")</f>
        <v xml:space="preserve">    </v>
      </c>
      <c r="C5" s="327"/>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9">
        <f t="shared" si="2"/>
        <v>0</v>
      </c>
      <c r="AJ5" s="185" t="str">
        <f t="shared" si="3"/>
        <v/>
      </c>
      <c r="AK5" s="188"/>
      <c r="AL5" s="119"/>
    </row>
    <row r="6" spans="2:38" s="64" customFormat="1" ht="17.149999999999999" customHeight="1">
      <c r="B6" s="327" t="str">
        <f>IFERROR(Project.03&amp;" "&amp;WP.03&amp;" "&amp;Contract.03&amp;" "&amp;Type.03&amp;" "&amp;Activity.03," ")</f>
        <v xml:space="preserve">    </v>
      </c>
      <c r="C6" s="327"/>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9">
        <f t="shared" si="2"/>
        <v>0</v>
      </c>
      <c r="AJ6" s="185" t="str">
        <f t="shared" si="3"/>
        <v/>
      </c>
      <c r="AK6" s="188"/>
      <c r="AL6" s="119"/>
    </row>
    <row r="7" spans="2:38" s="64" customFormat="1" ht="17.149999999999999" customHeight="1">
      <c r="B7" s="327" t="str">
        <f>IFERROR(Project.04&amp;" "&amp;WP.04&amp;" "&amp;Contract.04&amp;" "&amp;Type.04&amp;" "&amp;Activity.04," ")</f>
        <v xml:space="preserve">    </v>
      </c>
      <c r="C7" s="327"/>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9">
        <f t="shared" si="2"/>
        <v>0</v>
      </c>
      <c r="AJ7" s="185" t="str">
        <f t="shared" si="3"/>
        <v/>
      </c>
      <c r="AK7" s="188"/>
      <c r="AL7" s="119"/>
    </row>
    <row r="8" spans="2:38" s="64" customFormat="1" ht="17.149999999999999" customHeight="1">
      <c r="B8" s="327" t="str">
        <f>IFERROR(Project.05&amp;" "&amp;WP.05&amp;" "&amp;Contract.05&amp;" "&amp;Type.05&amp;" "&amp;Activity.05," ")</f>
        <v xml:space="preserve">    </v>
      </c>
      <c r="C8" s="327"/>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9">
        <f t="shared" si="2"/>
        <v>0</v>
      </c>
      <c r="AJ8" s="185" t="str">
        <f t="shared" si="3"/>
        <v/>
      </c>
      <c r="AK8" s="188"/>
      <c r="AL8" s="119"/>
    </row>
    <row r="9" spans="2:38" s="64" customFormat="1" ht="17.149999999999999" customHeight="1">
      <c r="B9" s="327" t="str">
        <f>IFERROR(Project.06&amp;" "&amp;WP.06&amp;" "&amp;Contract.06&amp;" "&amp;Type.06&amp;" "&amp;Activity.06," ")</f>
        <v xml:space="preserve">    </v>
      </c>
      <c r="C9" s="327"/>
      <c r="D9" s="88"/>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9">
        <f t="shared" si="2"/>
        <v>0</v>
      </c>
      <c r="AJ9" s="185" t="str">
        <f t="shared" si="3"/>
        <v/>
      </c>
      <c r="AK9" s="188"/>
      <c r="AL9" s="119"/>
    </row>
    <row r="10" spans="2:38" s="64" customFormat="1" ht="17.149999999999999" customHeight="1">
      <c r="B10" s="327" t="str">
        <f>IFERROR(Project.07&amp;" "&amp;WP.07&amp;" "&amp;Contract.07&amp;" "&amp;Type.07&amp;" "&amp;Activity.07," ")</f>
        <v xml:space="preserve">    </v>
      </c>
      <c r="C10" s="327"/>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9">
        <f t="shared" si="2"/>
        <v>0</v>
      </c>
      <c r="AJ10" s="185" t="str">
        <f t="shared" si="3"/>
        <v/>
      </c>
      <c r="AK10" s="188"/>
      <c r="AL10" s="119"/>
    </row>
    <row r="11" spans="2:38" s="64" customFormat="1" ht="17.149999999999999" customHeight="1">
      <c r="B11" s="327" t="str">
        <f>IFERROR(Project.08&amp;" "&amp;WP.08&amp;" "&amp;Contract.08&amp;" "&amp;Type.08&amp;" "&amp;Activity.08," ")</f>
        <v xml:space="preserve">    </v>
      </c>
      <c r="C11" s="327"/>
      <c r="D11" s="88"/>
      <c r="E11" s="88"/>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9">
        <f t="shared" si="2"/>
        <v>0</v>
      </c>
      <c r="AJ11" s="185" t="str">
        <f t="shared" si="3"/>
        <v/>
      </c>
      <c r="AK11" s="188"/>
      <c r="AL11" s="119"/>
    </row>
    <row r="12" spans="2:38" s="64" customFormat="1" ht="17.149999999999999" customHeight="1">
      <c r="B12" s="327" t="str">
        <f>(Project.09&amp;" "&amp;WP.09&amp;" "&amp;Contract.09&amp;" "&amp;Type.09&amp;" "&amp;Activity.09)</f>
        <v xml:space="preserve">    </v>
      </c>
      <c r="C12" s="327"/>
      <c r="D12" s="88"/>
      <c r="E12" s="88"/>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9">
        <f t="shared" si="2"/>
        <v>0</v>
      </c>
      <c r="AJ12" s="185" t="str">
        <f t="shared" si="3"/>
        <v/>
      </c>
      <c r="AK12" s="188"/>
      <c r="AL12" s="119"/>
    </row>
    <row r="13" spans="2:38" s="64" customFormat="1" ht="17.149999999999999" customHeight="1">
      <c r="B13" s="327" t="str">
        <f>IFERROR(Project.10&amp;" "&amp;WP.10&amp;" "&amp;Contract.10&amp;" "&amp;Type.10&amp;" "&amp;Activity.10," ")</f>
        <v xml:space="preserve">    </v>
      </c>
      <c r="C13" s="327"/>
      <c r="D13" s="88"/>
      <c r="E13" s="88"/>
      <c r="F13" s="88"/>
      <c r="G13" s="88"/>
      <c r="H13" s="88"/>
      <c r="I13" s="88"/>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9">
        <f t="shared" si="2"/>
        <v>0</v>
      </c>
      <c r="AJ13" s="185" t="str">
        <f t="shared" si="3"/>
        <v/>
      </c>
      <c r="AK13" s="188"/>
      <c r="AL13" s="119"/>
    </row>
    <row r="14" spans="2:38" s="64" customFormat="1" ht="17.149999999999999" customHeight="1">
      <c r="B14" s="327" t="str">
        <f>IFERROR(Project.11&amp;" "&amp;WP.11&amp;" "&amp;Contract.11&amp;" "&amp;Type.11&amp;" "&amp;Activity.11," ")</f>
        <v xml:space="preserve">    </v>
      </c>
      <c r="C14" s="327"/>
      <c r="D14" s="88"/>
      <c r="E14" s="88"/>
      <c r="F14" s="88"/>
      <c r="G14" s="88"/>
      <c r="H14" s="88"/>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9">
        <f t="shared" si="2"/>
        <v>0</v>
      </c>
      <c r="AJ14" s="185" t="str">
        <f t="shared" si="3"/>
        <v/>
      </c>
      <c r="AK14" s="188"/>
      <c r="AL14" s="119"/>
    </row>
    <row r="15" spans="2:38" s="64" customFormat="1" ht="17.149999999999999" customHeight="1">
      <c r="B15" s="327" t="str">
        <f>IFERROR(Project.12&amp;" "&amp;WP.12&amp;" "&amp;Contract.12&amp;" "&amp;Type.12&amp;" "&amp;Activity.12," ")</f>
        <v xml:space="preserve">    </v>
      </c>
      <c r="C15" s="327"/>
      <c r="D15" s="88"/>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9">
        <f t="shared" si="2"/>
        <v>0</v>
      </c>
      <c r="AJ15" s="185" t="str">
        <f t="shared" si="3"/>
        <v/>
      </c>
      <c r="AK15" s="188"/>
      <c r="AL15" s="119"/>
    </row>
    <row r="16" spans="2:38" s="64" customFormat="1" ht="17.149999999999999" customHeight="1">
      <c r="B16" s="327" t="str">
        <f>IFERROR(Project.13&amp;" "&amp;WP.13&amp;" "&amp;Contract.13&amp;" "&amp;Type.13&amp;" "&amp;Activity.13," ")</f>
        <v xml:space="preserve">    </v>
      </c>
      <c r="C16" s="327"/>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9">
        <f t="shared" si="2"/>
        <v>0</v>
      </c>
      <c r="AJ16" s="185" t="str">
        <f t="shared" si="3"/>
        <v/>
      </c>
      <c r="AK16" s="188"/>
      <c r="AL16" s="119"/>
    </row>
    <row r="17" spans="2:41" s="64" customFormat="1" ht="17.149999999999999" customHeight="1">
      <c r="B17" s="327" t="str">
        <f>IFERROR(Project.14&amp;" "&amp;WP.14&amp;" "&amp;Contract.14&amp;" "&amp;Type.14&amp;" "&amp;Activity.14," ")</f>
        <v xml:space="preserve">    </v>
      </c>
      <c r="C17" s="327"/>
      <c r="D17" s="88"/>
      <c r="E17" s="88"/>
      <c r="F17" s="88"/>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9">
        <f t="shared" si="2"/>
        <v>0</v>
      </c>
      <c r="AJ17" s="185" t="str">
        <f t="shared" si="3"/>
        <v/>
      </c>
      <c r="AK17" s="188"/>
      <c r="AL17" s="119"/>
    </row>
    <row r="18" spans="2:41" s="64" customFormat="1" ht="17.149999999999999" customHeight="1">
      <c r="B18" s="327" t="str">
        <f>IFERROR(Project.15&amp;" "&amp;WP.15&amp;" "&amp;Contract.15&amp;" "&amp;Type.15&amp;" "&amp;Activity.15," ")</f>
        <v xml:space="preserve">    </v>
      </c>
      <c r="C18" s="327"/>
      <c r="D18" s="88"/>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9">
        <f t="shared" si="2"/>
        <v>0</v>
      </c>
      <c r="AJ18" s="185" t="str">
        <f t="shared" si="3"/>
        <v/>
      </c>
      <c r="AK18" s="188"/>
      <c r="AL18" s="119"/>
    </row>
    <row r="19" spans="2:41" s="64" customFormat="1" ht="17.149999999999999" customHeight="1">
      <c r="B19" s="327" t="str">
        <f>IFERROR(Project.16&amp;" "&amp;WP.16&amp;" "&amp;Contract.16&amp;" "&amp;Type.16&amp;" "&amp;Activity.16," ")</f>
        <v xml:space="preserve">    </v>
      </c>
      <c r="C19" s="327"/>
      <c r="D19" s="88"/>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9">
        <f t="shared" si="2"/>
        <v>0</v>
      </c>
      <c r="AJ19" s="185" t="str">
        <f t="shared" si="3"/>
        <v/>
      </c>
      <c r="AK19" s="188"/>
      <c r="AL19" s="119"/>
    </row>
    <row r="20" spans="2:41" s="64" customFormat="1" ht="17.149999999999999" customHeight="1">
      <c r="B20" s="327" t="str">
        <f>IFERROR(Project.17&amp;" "&amp;WP.17&amp;" "&amp;Contract.17&amp;" "&amp;Type.17&amp;" "&amp;Activity.17," ")</f>
        <v xml:space="preserve">    </v>
      </c>
      <c r="C20" s="327"/>
      <c r="D20" s="88"/>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9">
        <f t="shared" si="2"/>
        <v>0</v>
      </c>
      <c r="AJ20" s="185" t="str">
        <f t="shared" si="3"/>
        <v/>
      </c>
      <c r="AK20" s="188"/>
      <c r="AL20" s="119"/>
    </row>
    <row r="21" spans="2:41" s="64" customFormat="1" ht="17.149999999999999" customHeight="1">
      <c r="B21" s="327" t="str">
        <f>IFERROR(Project.18&amp;" "&amp;WP.18&amp;" "&amp;Contract.18&amp;" "&amp;Type.18&amp;" "&amp;Activity.18," ")</f>
        <v xml:space="preserve">    </v>
      </c>
      <c r="C21" s="327"/>
      <c r="D21" s="88"/>
      <c r="E21" s="88"/>
      <c r="F21" s="88"/>
      <c r="G21" s="88"/>
      <c r="H21" s="88"/>
      <c r="I21" s="88"/>
      <c r="J21" s="88"/>
      <c r="K21" s="88"/>
      <c r="L21" s="88"/>
      <c r="M21" s="88"/>
      <c r="N21" s="88"/>
      <c r="O21" s="88"/>
      <c r="P21" s="88"/>
      <c r="Q21" s="88"/>
      <c r="R21" s="88"/>
      <c r="S21" s="88"/>
      <c r="T21" s="88"/>
      <c r="U21" s="88"/>
      <c r="V21" s="88"/>
      <c r="W21" s="88"/>
      <c r="X21" s="88"/>
      <c r="Y21" s="88"/>
      <c r="Z21" s="88"/>
      <c r="AA21" s="88"/>
      <c r="AB21" s="88"/>
      <c r="AC21" s="88"/>
      <c r="AD21" s="88"/>
      <c r="AE21" s="88"/>
      <c r="AF21" s="88"/>
      <c r="AG21" s="88"/>
      <c r="AH21" s="88"/>
      <c r="AI21" s="89">
        <f t="shared" si="2"/>
        <v>0</v>
      </c>
      <c r="AJ21" s="185" t="str">
        <f t="shared" si="3"/>
        <v/>
      </c>
      <c r="AK21" s="188"/>
      <c r="AL21" s="119"/>
    </row>
    <row r="22" spans="2:41" s="64" customFormat="1" ht="17.149999999999999" customHeight="1">
      <c r="B22" s="327" t="str">
        <f>IFERROR(Project.19&amp;" "&amp;WP.19&amp;" "&amp;Contract.19&amp;" "&amp;Type.19&amp;" "&amp;Activity.19," ")</f>
        <v xml:space="preserve">    </v>
      </c>
      <c r="C22" s="327"/>
      <c r="D22" s="88"/>
      <c r="E22" s="88"/>
      <c r="F22" s="88"/>
      <c r="G22" s="88"/>
      <c r="H22" s="88"/>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9">
        <f t="shared" si="2"/>
        <v>0</v>
      </c>
      <c r="AJ22" s="185" t="str">
        <f t="shared" si="3"/>
        <v/>
      </c>
      <c r="AK22" s="188"/>
      <c r="AL22" s="119"/>
    </row>
    <row r="23" spans="2:41" s="64" customFormat="1" ht="17.149999999999999" customHeight="1">
      <c r="B23" s="328" t="str">
        <f>IFERROR(Project.20&amp;" "&amp;WP.20&amp;" "&amp;Contract.20&amp;" "&amp;Type.20&amp;" "&amp;Activity.20," ")</f>
        <v xml:space="preserve">OTHER HOURS WORKED    </v>
      </c>
      <c r="C23" s="328"/>
      <c r="D23" s="88"/>
      <c r="E23" s="88"/>
      <c r="F23" s="88"/>
      <c r="G23" s="88"/>
      <c r="H23" s="88"/>
      <c r="I23" s="88"/>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9">
        <f t="shared" si="2"/>
        <v>0</v>
      </c>
      <c r="AJ23" s="185" t="str">
        <f t="shared" si="3"/>
        <v/>
      </c>
      <c r="AK23" s="188"/>
      <c r="AL23" s="119"/>
    </row>
    <row r="24" spans="2:41" s="64" customFormat="1" ht="17.149999999999999" customHeight="1">
      <c r="B24" s="207" t="s">
        <v>239</v>
      </c>
      <c r="C24" s="81"/>
      <c r="D24" s="208"/>
      <c r="E24" s="208"/>
      <c r="F24" s="208"/>
      <c r="G24" s="208"/>
      <c r="H24" s="208"/>
      <c r="I24" s="208"/>
      <c r="J24" s="208"/>
      <c r="K24" s="208"/>
      <c r="L24" s="208"/>
      <c r="M24" s="208"/>
      <c r="N24" s="208"/>
      <c r="O24" s="208"/>
      <c r="P24" s="208"/>
      <c r="Q24" s="208"/>
      <c r="R24" s="208"/>
      <c r="S24" s="208"/>
      <c r="T24" s="208"/>
      <c r="U24" s="208"/>
      <c r="V24" s="208"/>
      <c r="W24" s="208"/>
      <c r="X24" s="208"/>
      <c r="Y24" s="208"/>
      <c r="Z24" s="208"/>
      <c r="AA24" s="208"/>
      <c r="AB24" s="208"/>
      <c r="AC24" s="208"/>
      <c r="AD24" s="208"/>
      <c r="AE24" s="208"/>
      <c r="AF24" s="208"/>
      <c r="AG24" s="208"/>
      <c r="AH24" s="208"/>
      <c r="AI24" s="148">
        <f t="shared" ref="AI24" si="4">SUM(D24:AH24)</f>
        <v>0</v>
      </c>
      <c r="AJ24" s="149" t="str">
        <f>IFERROR(AI24/$AI$28,"")</f>
        <v/>
      </c>
      <c r="AK24" s="188"/>
      <c r="AL24" s="119"/>
    </row>
    <row r="25" spans="2:41" s="65" customFormat="1" ht="17.149999999999999" customHeight="1">
      <c r="B25" s="83" t="s">
        <v>56</v>
      </c>
      <c r="C25" s="84"/>
      <c r="D25" s="91">
        <f>D26</f>
        <v>0</v>
      </c>
      <c r="E25" s="91">
        <f t="shared" ref="E25:AH25" si="5">E26</f>
        <v>0</v>
      </c>
      <c r="F25" s="91">
        <f t="shared" si="5"/>
        <v>0</v>
      </c>
      <c r="G25" s="91">
        <f t="shared" si="5"/>
        <v>0</v>
      </c>
      <c r="H25" s="91">
        <f t="shared" si="5"/>
        <v>0</v>
      </c>
      <c r="I25" s="91">
        <f t="shared" si="5"/>
        <v>0</v>
      </c>
      <c r="J25" s="91">
        <f t="shared" si="5"/>
        <v>0</v>
      </c>
      <c r="K25" s="91">
        <f t="shared" si="5"/>
        <v>0</v>
      </c>
      <c r="L25" s="91">
        <f t="shared" si="5"/>
        <v>0</v>
      </c>
      <c r="M25" s="91">
        <f t="shared" si="5"/>
        <v>0</v>
      </c>
      <c r="N25" s="91">
        <f t="shared" si="5"/>
        <v>0</v>
      </c>
      <c r="O25" s="91">
        <f t="shared" si="5"/>
        <v>0</v>
      </c>
      <c r="P25" s="91">
        <f t="shared" si="5"/>
        <v>0</v>
      </c>
      <c r="Q25" s="91">
        <f t="shared" si="5"/>
        <v>0</v>
      </c>
      <c r="R25" s="91">
        <f t="shared" si="5"/>
        <v>0</v>
      </c>
      <c r="S25" s="91">
        <f t="shared" si="5"/>
        <v>0</v>
      </c>
      <c r="T25" s="91">
        <f t="shared" si="5"/>
        <v>0</v>
      </c>
      <c r="U25" s="91">
        <f t="shared" si="5"/>
        <v>0</v>
      </c>
      <c r="V25" s="91">
        <f t="shared" si="5"/>
        <v>0</v>
      </c>
      <c r="W25" s="91">
        <f t="shared" si="5"/>
        <v>0</v>
      </c>
      <c r="X25" s="91">
        <f t="shared" si="5"/>
        <v>0</v>
      </c>
      <c r="Y25" s="91">
        <f t="shared" si="5"/>
        <v>0</v>
      </c>
      <c r="Z25" s="91">
        <f t="shared" si="5"/>
        <v>0</v>
      </c>
      <c r="AA25" s="91">
        <f t="shared" si="5"/>
        <v>0</v>
      </c>
      <c r="AB25" s="91">
        <f t="shared" si="5"/>
        <v>0</v>
      </c>
      <c r="AC25" s="91">
        <f t="shared" si="5"/>
        <v>0</v>
      </c>
      <c r="AD25" s="91">
        <f t="shared" si="5"/>
        <v>0</v>
      </c>
      <c r="AE25" s="91">
        <f t="shared" si="5"/>
        <v>0</v>
      </c>
      <c r="AF25" s="91">
        <f t="shared" si="5"/>
        <v>0</v>
      </c>
      <c r="AG25" s="91">
        <f t="shared" si="5"/>
        <v>0</v>
      </c>
      <c r="AH25" s="91">
        <f t="shared" si="5"/>
        <v>0</v>
      </c>
      <c r="AI25" s="92"/>
      <c r="AJ25" s="82"/>
      <c r="AL25" s="120"/>
    </row>
    <row r="26" spans="2:41" s="64" customFormat="1" ht="17.149999999999999" customHeight="1">
      <c r="B26" s="318" t="s">
        <v>4</v>
      </c>
      <c r="C26" s="319"/>
      <c r="D26" s="93">
        <f t="shared" ref="D26:AH26" si="6">SUM(D4:D23)</f>
        <v>0</v>
      </c>
      <c r="E26" s="93">
        <f t="shared" si="6"/>
        <v>0</v>
      </c>
      <c r="F26" s="93">
        <f t="shared" si="6"/>
        <v>0</v>
      </c>
      <c r="G26" s="93">
        <f t="shared" si="6"/>
        <v>0</v>
      </c>
      <c r="H26" s="93">
        <f t="shared" si="6"/>
        <v>0</v>
      </c>
      <c r="I26" s="93">
        <f t="shared" si="6"/>
        <v>0</v>
      </c>
      <c r="J26" s="93">
        <f t="shared" si="6"/>
        <v>0</v>
      </c>
      <c r="K26" s="93">
        <f t="shared" si="6"/>
        <v>0</v>
      </c>
      <c r="L26" s="93">
        <f t="shared" si="6"/>
        <v>0</v>
      </c>
      <c r="M26" s="93">
        <f t="shared" si="6"/>
        <v>0</v>
      </c>
      <c r="N26" s="93">
        <f t="shared" si="6"/>
        <v>0</v>
      </c>
      <c r="O26" s="93">
        <f t="shared" si="6"/>
        <v>0</v>
      </c>
      <c r="P26" s="93">
        <f t="shared" si="6"/>
        <v>0</v>
      </c>
      <c r="Q26" s="93">
        <f t="shared" si="6"/>
        <v>0</v>
      </c>
      <c r="R26" s="93">
        <f t="shared" si="6"/>
        <v>0</v>
      </c>
      <c r="S26" s="93">
        <f t="shared" si="6"/>
        <v>0</v>
      </c>
      <c r="T26" s="93">
        <f t="shared" si="6"/>
        <v>0</v>
      </c>
      <c r="U26" s="93">
        <f t="shared" si="6"/>
        <v>0</v>
      </c>
      <c r="V26" s="93">
        <f t="shared" si="6"/>
        <v>0</v>
      </c>
      <c r="W26" s="93">
        <f t="shared" si="6"/>
        <v>0</v>
      </c>
      <c r="X26" s="93">
        <f t="shared" si="6"/>
        <v>0</v>
      </c>
      <c r="Y26" s="93">
        <f t="shared" si="6"/>
        <v>0</v>
      </c>
      <c r="Z26" s="93">
        <f t="shared" si="6"/>
        <v>0</v>
      </c>
      <c r="AA26" s="93">
        <f t="shared" si="6"/>
        <v>0</v>
      </c>
      <c r="AB26" s="93">
        <f t="shared" si="6"/>
        <v>0</v>
      </c>
      <c r="AC26" s="93">
        <f t="shared" si="6"/>
        <v>0</v>
      </c>
      <c r="AD26" s="93">
        <f t="shared" si="6"/>
        <v>0</v>
      </c>
      <c r="AE26" s="93">
        <f t="shared" si="6"/>
        <v>0</v>
      </c>
      <c r="AF26" s="93">
        <f t="shared" si="6"/>
        <v>0</v>
      </c>
      <c r="AG26" s="93">
        <f t="shared" si="6"/>
        <v>0</v>
      </c>
      <c r="AH26" s="93">
        <f t="shared" si="6"/>
        <v>0</v>
      </c>
      <c r="AI26" s="94">
        <f>SUM(D26:AH26)</f>
        <v>0</v>
      </c>
      <c r="AJ26" s="82"/>
      <c r="AK26" s="12"/>
      <c r="AL26" s="12"/>
      <c r="AM26" s="12"/>
      <c r="AN26" s="12"/>
      <c r="AO26" s="12"/>
    </row>
    <row r="27" spans="2:41" s="65" customFormat="1" ht="17.149999999999999" customHeight="1">
      <c r="B27" s="83" t="s">
        <v>56</v>
      </c>
      <c r="C27" s="84"/>
      <c r="D27" s="91"/>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2"/>
      <c r="AJ27" s="84"/>
      <c r="AK27" s="12"/>
      <c r="AL27" s="12"/>
      <c r="AM27" s="12"/>
      <c r="AN27" s="12"/>
      <c r="AO27" s="12"/>
    </row>
    <row r="28" spans="2:41" s="64" customFormat="1" ht="17.149999999999999" customHeight="1">
      <c r="B28" s="318" t="s">
        <v>5</v>
      </c>
      <c r="C28" s="319"/>
      <c r="D28" s="93">
        <f>SUM(D4:D24)</f>
        <v>0</v>
      </c>
      <c r="E28" s="93">
        <f t="shared" ref="E28:AH28" si="7">SUM(E4:E24)</f>
        <v>0</v>
      </c>
      <c r="F28" s="93">
        <f t="shared" si="7"/>
        <v>0</v>
      </c>
      <c r="G28" s="93">
        <f t="shared" si="7"/>
        <v>0</v>
      </c>
      <c r="H28" s="93">
        <f t="shared" si="7"/>
        <v>0</v>
      </c>
      <c r="I28" s="93">
        <f t="shared" si="7"/>
        <v>0</v>
      </c>
      <c r="J28" s="93">
        <f t="shared" si="7"/>
        <v>0</v>
      </c>
      <c r="K28" s="93">
        <f t="shared" si="7"/>
        <v>0</v>
      </c>
      <c r="L28" s="93">
        <f t="shared" si="7"/>
        <v>0</v>
      </c>
      <c r="M28" s="93">
        <f t="shared" si="7"/>
        <v>0</v>
      </c>
      <c r="N28" s="93">
        <f t="shared" si="7"/>
        <v>0</v>
      </c>
      <c r="O28" s="93">
        <f t="shared" si="7"/>
        <v>0</v>
      </c>
      <c r="P28" s="93">
        <f t="shared" si="7"/>
        <v>0</v>
      </c>
      <c r="Q28" s="93">
        <f t="shared" si="7"/>
        <v>0</v>
      </c>
      <c r="R28" s="93">
        <f t="shared" si="7"/>
        <v>0</v>
      </c>
      <c r="S28" s="93">
        <f t="shared" si="7"/>
        <v>0</v>
      </c>
      <c r="T28" s="93">
        <f t="shared" si="7"/>
        <v>0</v>
      </c>
      <c r="U28" s="93">
        <f t="shared" si="7"/>
        <v>0</v>
      </c>
      <c r="V28" s="93">
        <f t="shared" si="7"/>
        <v>0</v>
      </c>
      <c r="W28" s="93">
        <f t="shared" si="7"/>
        <v>0</v>
      </c>
      <c r="X28" s="93">
        <f t="shared" si="7"/>
        <v>0</v>
      </c>
      <c r="Y28" s="93">
        <f t="shared" si="7"/>
        <v>0</v>
      </c>
      <c r="Z28" s="93">
        <f t="shared" si="7"/>
        <v>0</v>
      </c>
      <c r="AA28" s="93">
        <f t="shared" si="7"/>
        <v>0</v>
      </c>
      <c r="AB28" s="93">
        <f t="shared" si="7"/>
        <v>0</v>
      </c>
      <c r="AC28" s="93">
        <f t="shared" si="7"/>
        <v>0</v>
      </c>
      <c r="AD28" s="93">
        <f t="shared" si="7"/>
        <v>0</v>
      </c>
      <c r="AE28" s="93">
        <f t="shared" si="7"/>
        <v>0</v>
      </c>
      <c r="AF28" s="93">
        <f t="shared" si="7"/>
        <v>0</v>
      </c>
      <c r="AG28" s="93">
        <f t="shared" si="7"/>
        <v>0</v>
      </c>
      <c r="AH28" s="93">
        <f t="shared" si="7"/>
        <v>0</v>
      </c>
      <c r="AI28" s="94">
        <f>SUM(D28:AH28)</f>
        <v>0</v>
      </c>
      <c r="AJ28" s="82"/>
      <c r="AL28" s="119"/>
    </row>
    <row r="29" spans="2:41" ht="17.25" customHeight="1">
      <c r="B29" s="53" t="s">
        <v>56</v>
      </c>
      <c r="C29" s="54"/>
      <c r="D29" s="47"/>
      <c r="E29" s="47"/>
      <c r="F29" s="47"/>
      <c r="G29" s="47"/>
      <c r="H29" s="47"/>
      <c r="I29" s="47"/>
      <c r="J29" s="47"/>
      <c r="K29" s="47"/>
      <c r="L29" s="47"/>
      <c r="M29" s="47"/>
      <c r="N29" s="47"/>
      <c r="O29" s="47"/>
      <c r="P29" s="47"/>
      <c r="Q29" s="47"/>
      <c r="R29" s="47"/>
      <c r="S29" s="47"/>
      <c r="T29" s="47"/>
      <c r="U29" s="47"/>
      <c r="V29" s="55"/>
      <c r="W29" s="55"/>
      <c r="X29" s="55"/>
      <c r="Y29" s="55"/>
      <c r="Z29" s="55"/>
      <c r="AA29" s="55"/>
      <c r="AB29" s="55"/>
      <c r="AC29" s="55"/>
      <c r="AD29" s="55"/>
      <c r="AE29" s="55"/>
      <c r="AF29" s="55"/>
      <c r="AG29" s="55"/>
      <c r="AH29" s="55"/>
      <c r="AI29" s="56"/>
      <c r="AJ29" s="11"/>
    </row>
    <row r="30" spans="2:41" ht="16.899999999999999" customHeight="1">
      <c r="B30" s="101" t="s">
        <v>8</v>
      </c>
      <c r="C30" s="102"/>
      <c r="D30" s="102"/>
      <c r="E30" s="102"/>
      <c r="F30" s="102"/>
      <c r="G30" s="103" t="s">
        <v>9</v>
      </c>
      <c r="H30" s="102"/>
      <c r="I30" s="11"/>
      <c r="J30" s="57"/>
      <c r="K30" s="11"/>
      <c r="L30" s="75"/>
      <c r="M30" s="11"/>
      <c r="N30" s="11"/>
      <c r="O30" s="11"/>
      <c r="P30" s="11"/>
      <c r="Q30" s="331" t="str">
        <f>'Start page'!D30</f>
        <v>• Missing information – Enter Project Acronym/name</v>
      </c>
      <c r="R30" s="331"/>
      <c r="S30" s="331"/>
      <c r="T30" s="331"/>
      <c r="U30" s="331"/>
      <c r="V30" s="331"/>
      <c r="W30" s="331"/>
      <c r="X30" s="331"/>
      <c r="Y30" s="331"/>
      <c r="Z30" s="331"/>
      <c r="AA30" s="331"/>
      <c r="AB30" s="331"/>
      <c r="AC30" s="331"/>
      <c r="AD30" s="331"/>
      <c r="AE30" s="331"/>
      <c r="AF30" s="331"/>
      <c r="AG30" s="331"/>
      <c r="AH30" s="331"/>
      <c r="AI30" s="331"/>
      <c r="AJ30" s="58"/>
    </row>
    <row r="31" spans="2:41" ht="15.5">
      <c r="B31" s="104" t="s">
        <v>56</v>
      </c>
      <c r="C31" s="95"/>
      <c r="D31" s="95"/>
      <c r="E31" s="95"/>
      <c r="F31" s="102"/>
      <c r="G31" s="95"/>
      <c r="H31" s="95"/>
      <c r="I31" s="11"/>
      <c r="J31" s="47"/>
      <c r="K31" s="47"/>
      <c r="L31" s="76"/>
      <c r="M31" s="47"/>
      <c r="N31" s="47"/>
      <c r="O31" s="47"/>
      <c r="P31" s="47"/>
      <c r="Q31" s="331"/>
      <c r="R31" s="331"/>
      <c r="S31" s="331"/>
      <c r="T31" s="331"/>
      <c r="U31" s="331"/>
      <c r="V31" s="331"/>
      <c r="W31" s="331"/>
      <c r="X31" s="331"/>
      <c r="Y31" s="331"/>
      <c r="Z31" s="331"/>
      <c r="AA31" s="331"/>
      <c r="AB31" s="331"/>
      <c r="AC31" s="331"/>
      <c r="AD31" s="331"/>
      <c r="AE31" s="331"/>
      <c r="AF31" s="331"/>
      <c r="AG31" s="331"/>
      <c r="AH31" s="331"/>
      <c r="AI31" s="331"/>
      <c r="AJ31" s="325" t="s">
        <v>230</v>
      </c>
      <c r="AK31" s="326"/>
    </row>
    <row r="32" spans="2:41" ht="15.5">
      <c r="B32" s="105" t="s">
        <v>56</v>
      </c>
      <c r="C32" s="106"/>
      <c r="D32" s="106"/>
      <c r="E32" s="95"/>
      <c r="F32" s="102"/>
      <c r="G32" s="106"/>
      <c r="H32" s="107"/>
      <c r="I32" s="61"/>
      <c r="J32" s="61"/>
      <c r="K32" s="61"/>
      <c r="L32" s="61"/>
      <c r="M32" s="61"/>
      <c r="N32" s="61"/>
      <c r="O32" s="47"/>
      <c r="P32" s="47"/>
      <c r="Q32" s="65"/>
      <c r="R32" s="65"/>
      <c r="S32" s="47"/>
      <c r="T32" s="47"/>
      <c r="U32" s="47"/>
      <c r="V32" s="47"/>
      <c r="W32" s="47"/>
      <c r="X32" s="316"/>
      <c r="Y32" s="316"/>
      <c r="Z32" s="316"/>
      <c r="AA32" s="316"/>
      <c r="AB32" s="317"/>
      <c r="AC32" s="317"/>
      <c r="AD32" s="58"/>
      <c r="AE32" s="316"/>
      <c r="AF32" s="316"/>
      <c r="AG32" s="316"/>
      <c r="AH32" s="316"/>
      <c r="AI32" s="77"/>
      <c r="AJ32" s="195">
        <v>1</v>
      </c>
      <c r="AK32" s="196" t="s">
        <v>234</v>
      </c>
    </row>
    <row r="33" spans="2:37" ht="15.5">
      <c r="B33" s="108">
        <f>Member</f>
        <v>0</v>
      </c>
      <c r="C33" s="95"/>
      <c r="D33" s="95"/>
      <c r="E33" s="95"/>
      <c r="F33" s="102"/>
      <c r="G33" s="95">
        <f>Supervisor</f>
        <v>0</v>
      </c>
      <c r="H33" s="102"/>
      <c r="I33" s="11"/>
      <c r="J33" s="47"/>
      <c r="K33" s="47"/>
      <c r="L33" s="47"/>
      <c r="M33" s="47"/>
      <c r="N33" s="47"/>
      <c r="O33" s="47"/>
      <c r="P33" s="47"/>
      <c r="Q33" s="331" t="str">
        <f>'Start page'!D6</f>
        <v>• Missing information – Fill in all names and title/function on the Start Page</v>
      </c>
      <c r="R33" s="331"/>
      <c r="S33" s="331"/>
      <c r="T33" s="331"/>
      <c r="U33" s="331"/>
      <c r="V33" s="331"/>
      <c r="W33" s="331"/>
      <c r="X33" s="331"/>
      <c r="Y33" s="331"/>
      <c r="Z33" s="331"/>
      <c r="AA33" s="331"/>
      <c r="AB33" s="331"/>
      <c r="AC33" s="331"/>
      <c r="AD33" s="331"/>
      <c r="AE33" s="331"/>
      <c r="AF33" s="331"/>
      <c r="AG33" s="331"/>
      <c r="AH33" s="331"/>
      <c r="AI33" s="331"/>
      <c r="AJ33" s="197">
        <v>2</v>
      </c>
      <c r="AK33" s="198" t="s">
        <v>231</v>
      </c>
    </row>
    <row r="34" spans="2:37" ht="18.75" customHeight="1">
      <c r="B34" s="109">
        <f>Title.member</f>
        <v>0</v>
      </c>
      <c r="C34" s="102"/>
      <c r="D34" s="95"/>
      <c r="E34" s="102"/>
      <c r="F34" s="102"/>
      <c r="G34" s="102">
        <f>Title.supervisor</f>
        <v>0</v>
      </c>
      <c r="H34" s="95"/>
      <c r="I34" s="11"/>
      <c r="J34" s="60"/>
      <c r="K34" s="11"/>
      <c r="L34" s="11"/>
      <c r="M34" s="11"/>
      <c r="N34" s="11"/>
      <c r="O34" s="47"/>
      <c r="P34" s="47"/>
      <c r="Q34" s="65"/>
      <c r="R34" s="65"/>
      <c r="S34" s="47"/>
      <c r="T34" s="47"/>
      <c r="U34" s="47"/>
      <c r="V34" s="47"/>
      <c r="W34" s="47"/>
      <c r="X34" s="179"/>
      <c r="Y34" s="179"/>
      <c r="Z34" s="179"/>
      <c r="AA34" s="179"/>
      <c r="AB34" s="180"/>
      <c r="AC34" s="180"/>
      <c r="AD34" s="58"/>
      <c r="AE34" s="181"/>
      <c r="AF34" s="181"/>
      <c r="AG34" s="181"/>
      <c r="AH34" s="181"/>
      <c r="AI34" s="59"/>
      <c r="AJ34" s="62"/>
    </row>
    <row r="35" spans="2:37" ht="18.75" customHeight="1">
      <c r="B35" s="109" t="s">
        <v>72</v>
      </c>
      <c r="C35" s="102"/>
      <c r="D35" s="95"/>
      <c r="E35" s="102"/>
      <c r="F35" s="102"/>
      <c r="G35" s="102" t="s">
        <v>73</v>
      </c>
      <c r="H35" s="95"/>
      <c r="I35" s="11"/>
      <c r="J35" s="60"/>
      <c r="K35" s="11"/>
      <c r="L35" s="11"/>
      <c r="M35" s="11"/>
      <c r="N35" s="11"/>
      <c r="O35" s="47"/>
      <c r="P35" s="47"/>
      <c r="Q35" s="65"/>
      <c r="R35" s="65"/>
      <c r="S35" s="47"/>
      <c r="T35" s="47"/>
      <c r="U35" s="47"/>
      <c r="V35" s="47"/>
      <c r="W35" s="47"/>
      <c r="X35" s="316"/>
      <c r="Y35" s="316"/>
      <c r="Z35" s="316"/>
      <c r="AA35" s="316"/>
      <c r="AB35" s="317"/>
      <c r="AC35" s="317"/>
      <c r="AD35" s="58"/>
      <c r="AE35" s="320"/>
      <c r="AF35" s="320"/>
      <c r="AG35" s="320"/>
      <c r="AH35" s="320"/>
      <c r="AI35" s="59"/>
      <c r="AJ35" s="62"/>
    </row>
    <row r="36" spans="2:37" ht="12" customHeight="1">
      <c r="B36" s="109"/>
      <c r="C36" s="102"/>
      <c r="D36" s="95"/>
      <c r="E36" s="102"/>
      <c r="F36" s="102"/>
      <c r="G36" s="102"/>
      <c r="H36" s="95"/>
      <c r="I36" s="11"/>
      <c r="J36" s="60"/>
      <c r="K36" s="11"/>
      <c r="L36" s="11"/>
      <c r="M36" s="11"/>
      <c r="N36" s="11"/>
      <c r="O36" s="47"/>
      <c r="P36" s="47"/>
      <c r="Q36" s="65"/>
      <c r="R36" s="65"/>
      <c r="S36" s="47"/>
      <c r="T36" s="47"/>
      <c r="U36" s="47"/>
      <c r="V36" s="47"/>
      <c r="W36" s="47"/>
      <c r="X36" s="77"/>
      <c r="Y36" s="77"/>
      <c r="Z36" s="77"/>
      <c r="AA36" s="77"/>
      <c r="AB36" s="78"/>
      <c r="AC36" s="78"/>
      <c r="AD36" s="58"/>
      <c r="AE36" s="79"/>
      <c r="AF36" s="79"/>
      <c r="AG36" s="79"/>
      <c r="AH36" s="79"/>
      <c r="AI36" s="59"/>
      <c r="AJ36" s="62"/>
    </row>
    <row r="37" spans="2:37" ht="23.25" customHeight="1">
      <c r="B37" s="105" t="s">
        <v>56</v>
      </c>
      <c r="C37" s="95"/>
      <c r="D37" s="106"/>
      <c r="E37" s="102"/>
      <c r="F37" s="102"/>
      <c r="G37" s="106"/>
      <c r="H37" s="110" t="s">
        <v>56</v>
      </c>
      <c r="I37" s="61"/>
      <c r="J37" s="61"/>
      <c r="K37" s="61"/>
      <c r="L37" s="61"/>
      <c r="M37" s="61"/>
      <c r="N37" s="61"/>
      <c r="O37" s="47"/>
      <c r="P37" s="47"/>
      <c r="Q37" s="331" t="str">
        <f>'Start page'!D29</f>
        <v/>
      </c>
      <c r="R37" s="331"/>
      <c r="S37" s="331"/>
      <c r="T37" s="331"/>
      <c r="U37" s="331"/>
      <c r="V37" s="331"/>
      <c r="W37" s="331"/>
      <c r="X37" s="331"/>
      <c r="Y37" s="331"/>
      <c r="Z37" s="331"/>
      <c r="AA37" s="331"/>
      <c r="AB37" s="331"/>
      <c r="AC37" s="331"/>
      <c r="AD37" s="331"/>
      <c r="AE37" s="331"/>
      <c r="AF37" s="331"/>
      <c r="AG37" s="331"/>
      <c r="AH37" s="331"/>
      <c r="AI37" s="331"/>
      <c r="AJ37" s="47"/>
    </row>
    <row r="38" spans="2:37" ht="19.5" customHeight="1">
      <c r="B38" s="108" t="s">
        <v>1</v>
      </c>
      <c r="C38" s="108"/>
      <c r="D38" s="95"/>
      <c r="E38" s="102"/>
      <c r="F38" s="102"/>
      <c r="G38" s="95" t="s">
        <v>1</v>
      </c>
      <c r="H38" s="102"/>
      <c r="I38" s="47"/>
      <c r="J38" s="47"/>
      <c r="K38" s="47"/>
      <c r="L38" s="47"/>
      <c r="M38" s="47"/>
      <c r="N38" s="47"/>
      <c r="O38" s="47"/>
      <c r="P38" s="47"/>
      <c r="Q38" s="47"/>
      <c r="R38" s="65"/>
      <c r="S38" s="47"/>
      <c r="T38" s="47"/>
      <c r="U38" s="47"/>
      <c r="V38" s="47"/>
      <c r="W38" s="77"/>
      <c r="X38" s="77"/>
      <c r="Y38" s="77"/>
      <c r="Z38" s="77"/>
      <c r="AA38" s="79"/>
      <c r="AB38" s="79"/>
      <c r="AC38" s="77"/>
      <c r="AD38" s="77"/>
      <c r="AE38" s="77"/>
      <c r="AF38" s="77"/>
      <c r="AG38" s="77"/>
      <c r="AH38" s="77"/>
      <c r="AI38" s="47"/>
      <c r="AJ38" s="11"/>
    </row>
    <row r="39" spans="2:37" ht="14.5">
      <c r="B39" s="37" t="s">
        <v>56</v>
      </c>
      <c r="C39" s="37">
        <f>ROW()</f>
        <v>39</v>
      </c>
      <c r="D39" s="64"/>
      <c r="E39" s="64"/>
      <c r="F39" s="64"/>
      <c r="G39" s="64"/>
      <c r="H39" s="64"/>
      <c r="I39" s="64"/>
      <c r="J39" s="64"/>
      <c r="K39" s="64"/>
      <c r="L39" s="64"/>
      <c r="M39" s="64"/>
      <c r="N39" s="64"/>
      <c r="O39" s="64"/>
      <c r="P39" s="65"/>
      <c r="Q39" s="65"/>
      <c r="R39" s="65"/>
      <c r="S39" s="65"/>
      <c r="T39" s="65"/>
      <c r="U39" s="65"/>
      <c r="V39" s="65"/>
      <c r="W39" s="65"/>
      <c r="X39" s="65"/>
      <c r="Y39" s="65"/>
      <c r="Z39" s="65"/>
      <c r="AA39" s="65"/>
      <c r="AB39" s="65"/>
      <c r="AC39" s="314"/>
      <c r="AD39" s="322"/>
      <c r="AE39" s="322"/>
      <c r="AF39" s="322"/>
      <c r="AG39" s="322"/>
      <c r="AH39" s="322"/>
      <c r="AI39" s="65"/>
    </row>
    <row r="40" spans="2:37" ht="14.5">
      <c r="P40" s="34"/>
      <c r="Q40" s="34"/>
      <c r="R40" s="34"/>
      <c r="S40" s="34"/>
      <c r="T40" s="34"/>
      <c r="U40" s="34"/>
      <c r="V40" s="34"/>
      <c r="W40" s="34"/>
      <c r="X40" s="34"/>
      <c r="Y40" s="34"/>
      <c r="Z40" s="34"/>
      <c r="AA40" s="34"/>
      <c r="AB40" s="34"/>
      <c r="AC40" s="323"/>
      <c r="AD40" s="324"/>
      <c r="AE40" s="324"/>
      <c r="AF40" s="324"/>
      <c r="AG40" s="324"/>
      <c r="AH40" s="324"/>
      <c r="AI40" s="34"/>
    </row>
    <row r="41" spans="2:37" ht="14.5">
      <c r="B41" s="306" t="s">
        <v>235</v>
      </c>
      <c r="C41" s="307"/>
      <c r="D41" s="307"/>
      <c r="E41" s="307"/>
      <c r="F41" s="307"/>
      <c r="G41" s="308"/>
      <c r="H41" s="308"/>
      <c r="I41" s="309"/>
      <c r="J41" s="309"/>
      <c r="K41" s="309"/>
      <c r="L41" s="309"/>
      <c r="M41" s="309"/>
      <c r="N41" s="309"/>
      <c r="O41" s="310"/>
      <c r="P41" s="34"/>
      <c r="Q41" s="34"/>
      <c r="R41" s="34"/>
      <c r="S41" s="34"/>
      <c r="T41" s="34"/>
      <c r="U41" s="34"/>
      <c r="V41" s="34"/>
      <c r="W41" s="34"/>
      <c r="X41" s="34"/>
      <c r="Y41" s="34"/>
      <c r="Z41" s="34"/>
      <c r="AA41" s="34"/>
      <c r="AB41" s="34"/>
      <c r="AC41" s="314"/>
      <c r="AD41" s="315"/>
      <c r="AE41" s="315"/>
      <c r="AF41" s="315"/>
      <c r="AG41" s="315"/>
      <c r="AH41" s="315"/>
      <c r="AI41" s="34"/>
    </row>
    <row r="42" spans="2:37" ht="14.5">
      <c r="B42" s="311"/>
      <c r="C42" s="312"/>
      <c r="D42" s="312"/>
      <c r="E42" s="312"/>
      <c r="F42" s="312"/>
      <c r="G42" s="312"/>
      <c r="H42" s="312"/>
      <c r="I42" s="312"/>
      <c r="J42" s="312"/>
      <c r="K42" s="312"/>
      <c r="L42" s="312"/>
      <c r="M42" s="312"/>
      <c r="N42" s="312"/>
      <c r="O42" s="313"/>
      <c r="P42" s="34"/>
      <c r="Q42" s="34"/>
      <c r="R42" s="34"/>
      <c r="S42" s="34"/>
      <c r="T42" s="34"/>
      <c r="U42" s="34"/>
      <c r="V42" s="34"/>
      <c r="W42" s="34"/>
      <c r="X42" s="34"/>
      <c r="Y42" s="34"/>
      <c r="Z42" s="34"/>
      <c r="AA42" s="34"/>
      <c r="AB42" s="34"/>
      <c r="AC42" s="314"/>
      <c r="AD42" s="315"/>
      <c r="AE42" s="315"/>
      <c r="AF42" s="315"/>
      <c r="AG42" s="315"/>
      <c r="AH42" s="315"/>
      <c r="AI42" s="34"/>
    </row>
    <row r="43" spans="2:37" ht="14.5">
      <c r="P43" s="34"/>
      <c r="Q43" s="34"/>
      <c r="R43" s="34"/>
      <c r="S43" s="34"/>
      <c r="T43" s="34"/>
      <c r="U43" s="34"/>
      <c r="V43" s="34"/>
      <c r="W43" s="34"/>
      <c r="X43" s="34"/>
      <c r="Y43" s="34"/>
      <c r="Z43" s="34"/>
      <c r="AA43" s="34"/>
      <c r="AB43" s="34"/>
      <c r="AC43" s="34"/>
      <c r="AD43" s="34"/>
      <c r="AE43" s="34"/>
      <c r="AF43" s="34"/>
      <c r="AG43" s="34"/>
      <c r="AH43" s="34"/>
      <c r="AI43" s="34"/>
    </row>
    <row r="44" spans="2:37" ht="14.5">
      <c r="P44" s="34"/>
      <c r="Q44" s="34"/>
      <c r="R44" s="34"/>
      <c r="S44" s="34"/>
      <c r="T44" s="34"/>
      <c r="U44" s="34"/>
      <c r="V44" s="34"/>
      <c r="W44" s="34"/>
      <c r="X44" s="34"/>
      <c r="Y44" s="34"/>
      <c r="Z44" s="34"/>
      <c r="AA44" s="34"/>
      <c r="AB44" s="34"/>
      <c r="AC44" s="34"/>
      <c r="AD44" s="34"/>
      <c r="AE44" s="34"/>
      <c r="AF44" s="34"/>
      <c r="AG44" s="34"/>
      <c r="AH44" s="34"/>
      <c r="AI44" s="34"/>
    </row>
    <row r="45" spans="2:37" ht="14.5"/>
    <row r="46" spans="2:37" ht="14.5"/>
    <row r="47" spans="2:37" ht="14.5"/>
    <row r="48" spans="2:37" ht="14.5"/>
    <row r="49" ht="14.5"/>
    <row r="50" ht="14.5"/>
    <row r="51" ht="14.5"/>
    <row r="52" ht="14.5"/>
    <row r="53" ht="14.5"/>
    <row r="54" ht="14.5"/>
    <row r="55" ht="14.5"/>
    <row r="56" ht="14.5"/>
    <row r="57" ht="14.5"/>
    <row r="58" ht="14.5"/>
    <row r="59" ht="14.5"/>
    <row r="60" ht="14.5"/>
    <row r="61" ht="14.5"/>
    <row r="62" ht="14.5"/>
    <row r="63" ht="14.5"/>
    <row r="64" ht="14.5"/>
    <row r="65" ht="14.5"/>
    <row r="66" ht="14.5"/>
    <row r="67" ht="14.5"/>
    <row r="68" ht="14.5"/>
    <row r="69" ht="14.5"/>
    <row r="70" ht="14.5"/>
    <row r="71" ht="14.5"/>
    <row r="72" ht="14.5"/>
    <row r="73" ht="14.5"/>
    <row r="74" ht="14.5"/>
    <row r="75" ht="14.5"/>
    <row r="76" ht="14.5"/>
    <row r="77" ht="14.5"/>
    <row r="78" ht="14.5"/>
    <row r="79" ht="14.5"/>
    <row r="80" ht="14.5"/>
    <row r="81" spans="20:20" ht="14.5"/>
    <row r="82" spans="20:20" ht="14.5"/>
    <row r="83" spans="20:20" ht="14.5"/>
    <row r="84" spans="20:20" ht="14.5"/>
    <row r="85" spans="20:20" ht="14.5"/>
    <row r="86" spans="20:20" ht="14.5"/>
    <row r="87" spans="20:20" ht="14.5"/>
    <row r="88" spans="20:20" ht="14.5"/>
    <row r="89" spans="20:20" ht="14.5"/>
    <row r="90" spans="20:20" ht="14.5"/>
    <row r="91" spans="20:20" ht="14.5">
      <c r="T91" s="187"/>
    </row>
    <row r="92" spans="20:20" ht="14.5"/>
    <row r="93" spans="20:20" ht="14.5"/>
    <row r="94" spans="20:20" ht="14.5"/>
    <row r="95" spans="20:20" ht="14.5"/>
    <row r="96" spans="20:20" ht="14.5"/>
    <row r="97" ht="14.5"/>
    <row r="98" ht="14.5"/>
    <row r="99" ht="14.5"/>
    <row r="100" ht="14.5"/>
    <row r="101" ht="14.5"/>
    <row r="102" ht="14.5"/>
    <row r="103" ht="14.5"/>
    <row r="104" ht="14.5"/>
    <row r="105" ht="14.5"/>
    <row r="106" ht="14.5"/>
    <row r="107" ht="14.5"/>
    <row r="108" ht="14.5"/>
    <row r="109" ht="14.5"/>
    <row r="110" ht="14.5"/>
    <row r="111" ht="14.5"/>
    <row r="112" ht="14.5"/>
    <row r="113" ht="14.5"/>
    <row r="114" ht="14.5"/>
    <row r="115" ht="14.5"/>
    <row r="116" ht="14.5"/>
    <row r="117" ht="14.5"/>
    <row r="118" ht="14.5"/>
    <row r="119" ht="14.5"/>
    <row r="120" ht="14.5"/>
    <row r="121" ht="14.5"/>
    <row r="122" ht="14.5"/>
    <row r="123" ht="14.5"/>
    <row r="124" ht="14.5"/>
    <row r="125" ht="14.5"/>
    <row r="126" ht="14.5"/>
    <row r="127" ht="14.5"/>
    <row r="128" ht="14.5"/>
    <row r="129" ht="14.5"/>
    <row r="130" ht="14.5"/>
    <row r="131" ht="14.5"/>
    <row r="132" ht="14.5"/>
    <row r="133" ht="14.5"/>
    <row r="134" ht="14.5"/>
    <row r="135" ht="14.5"/>
    <row r="136" ht="14.5"/>
    <row r="137" ht="14.5"/>
    <row r="138" ht="14.5"/>
    <row r="139" ht="14.5"/>
    <row r="140" ht="14.5"/>
    <row r="141" ht="14.5"/>
    <row r="142" ht="14.5"/>
    <row r="143" ht="14.5"/>
    <row r="144" ht="14.5"/>
    <row r="145" ht="14.5"/>
    <row r="146" ht="14.5"/>
    <row r="147" ht="14.5"/>
    <row r="148" ht="14.5"/>
    <row r="149" ht="14.5"/>
    <row r="150" ht="14.5"/>
    <row r="151" ht="14.5"/>
    <row r="152" ht="14.5"/>
    <row r="153" ht="14.5"/>
    <row r="154" ht="14.5"/>
    <row r="155" ht="14.5"/>
    <row r="156" ht="14.5"/>
    <row r="157" ht="14.5"/>
    <row r="158" ht="14.5"/>
    <row r="159" ht="14.5"/>
    <row r="160" ht="15" customHeight="1"/>
    <row r="161" ht="15" customHeight="1"/>
    <row r="162" ht="15" customHeight="1"/>
    <row r="163" ht="15" customHeight="1"/>
    <row r="164" ht="15" customHeight="1"/>
  </sheetData>
  <sheetProtection algorithmName="SHA-512" hashValue="y4slMP1VLLIsQjqec77hwheW6sOS7PWiKdbbHyebtU1jh6AC2yEhdZMO0ZZ7U6Z+ARSCmJk3DRhJFdrLGRO4AQ==" saltValue="huod91T1cdbImdWrS2DKIA==" spinCount="100000" sheet="1" selectLockedCells="1"/>
  <mergeCells count="38">
    <mergeCell ref="B41:O42"/>
    <mergeCell ref="B8:C8"/>
    <mergeCell ref="B4:C4"/>
    <mergeCell ref="B5:C5"/>
    <mergeCell ref="B6:C6"/>
    <mergeCell ref="B7:C7"/>
    <mergeCell ref="B20:C20"/>
    <mergeCell ref="B9:C9"/>
    <mergeCell ref="B10:C10"/>
    <mergeCell ref="B11:C11"/>
    <mergeCell ref="B12:C12"/>
    <mergeCell ref="B13:C13"/>
    <mergeCell ref="B14:C14"/>
    <mergeCell ref="B15:C15"/>
    <mergeCell ref="B16:C16"/>
    <mergeCell ref="B17:C17"/>
    <mergeCell ref="B18:C18"/>
    <mergeCell ref="B19:C19"/>
    <mergeCell ref="B21:C21"/>
    <mergeCell ref="B22:C22"/>
    <mergeCell ref="B23:C23"/>
    <mergeCell ref="Q30:AI30"/>
    <mergeCell ref="X35:AA35"/>
    <mergeCell ref="AB35:AC35"/>
    <mergeCell ref="AE35:AH35"/>
    <mergeCell ref="B26:C26"/>
    <mergeCell ref="B28:C28"/>
    <mergeCell ref="AC40:AH40"/>
    <mergeCell ref="AC41:AH41"/>
    <mergeCell ref="AC42:AH42"/>
    <mergeCell ref="AC39:AH39"/>
    <mergeCell ref="AJ31:AK31"/>
    <mergeCell ref="Q37:AI37"/>
    <mergeCell ref="X32:AA32"/>
    <mergeCell ref="AB32:AC32"/>
    <mergeCell ref="AE32:AH32"/>
    <mergeCell ref="Q33:AI33"/>
    <mergeCell ref="Q31:AI31"/>
  </mergeCells>
  <conditionalFormatting sqref="D4:AH23">
    <cfRule type="expression" dxfId="144" priority="31">
      <formula>D$2</formula>
    </cfRule>
  </conditionalFormatting>
  <conditionalFormatting sqref="J4:J23">
    <cfRule type="expression" dxfId="143" priority="32">
      <formula>J$2</formula>
    </cfRule>
  </conditionalFormatting>
  <conditionalFormatting sqref="D3:AH3">
    <cfRule type="expression" dxfId="142" priority="30">
      <formula>MATCH(D3,INDIRECT("Fixed_weekdays[DateInYear]"),0)&gt;0</formula>
    </cfRule>
  </conditionalFormatting>
  <conditionalFormatting sqref="D3:AH3">
    <cfRule type="expression" dxfId="141" priority="29">
      <formula>MATCH(D3,INDIRECT("Fixed_dates[DateInYear]"),0)&gt;0</formula>
    </cfRule>
  </conditionalFormatting>
  <conditionalFormatting sqref="D3:AH3">
    <cfRule type="expression" dxfId="140" priority="28">
      <formula>AND(INDEX(INDIRECT("Shortened[WorkHours]"),MATCH(D3,INDIRECT("Shortened[DateInYear]"),0),0)&gt;0,INDEX(INDIRECT("Shortened[WorkHours]"),MATCH(D3,INDIRECT("Shortened[DateInYear]"),0),0)&lt;8)</formula>
    </cfRule>
  </conditionalFormatting>
  <conditionalFormatting sqref="D3:AH3">
    <cfRule type="expression" dxfId="139" priority="27">
      <formula>AND(INDEX(INDIRECT("Clamp[WorkHours]"),MATCH(C3,INDIRECT("Clamp[DateInYear]"),0),0)&gt;0,INDEX(INDIRECT("Clamp[WorkHours]"),MATCH(C3,INDIRECT("Clamp[DateInYear]"),0),0)&lt;8)</formula>
    </cfRule>
  </conditionalFormatting>
  <conditionalFormatting sqref="D3:AH3">
    <cfRule type="expression" dxfId="138" priority="25">
      <formula>INDEX(INDIRECT("Shortened[WorkHours]"),MATCH(D3,INDIRECT("Shortened[DateInYear]"),0),0)&gt;7</formula>
    </cfRule>
    <cfRule type="expression" dxfId="137" priority="26">
      <formula>INDEX(INDIRECT("Clamp[WorkHours]"),MATCH(D3,INDIRECT("Clamp[DateInYear]"),0),0)&gt;7</formula>
    </cfRule>
  </conditionalFormatting>
  <conditionalFormatting sqref="D3:AH3">
    <cfRule type="expression" dxfId="136" priority="24">
      <formula>OR(WEEKDAY(D3,2)=6,WEEKDAY(D3,2)=7)</formula>
    </cfRule>
  </conditionalFormatting>
  <conditionalFormatting sqref="J18:J22">
    <cfRule type="expression" dxfId="135" priority="23">
      <formula>J$2</formula>
    </cfRule>
  </conditionalFormatting>
  <conditionalFormatting sqref="B4:C22">
    <cfRule type="containsText" dxfId="134" priority="15" operator="containsText" text="Other US">
      <formula>NOT(ISERROR(SEARCH("Other US",B4)))</formula>
    </cfRule>
    <cfRule type="containsText" dxfId="133" priority="16" operator="containsText" text="US Army">
      <formula>NOT(ISERROR(SEARCH("US Army",B4)))</formula>
    </cfRule>
    <cfRule type="containsText" dxfId="132" priority="18" operator="containsText" text="NIH">
      <formula>NOT(ISERROR(SEARCH("NIH",B4)))</formula>
    </cfRule>
    <cfRule type="containsText" dxfId="131" priority="19" operator="containsText" text="FP7">
      <formula>NOT(ISERROR(SEARCH("FP7",B4)))</formula>
    </cfRule>
    <cfRule type="containsText" dxfId="130" priority="20" operator="containsText" text="H2020">
      <formula>NOT(ISERROR(SEARCH("H2020",B4)))</formula>
    </cfRule>
    <cfRule type="containsText" dxfId="129" priority="21" operator="containsText" text="Sida">
      <formula>NOT(ISERROR(SEARCH("Sida",B4)))</formula>
    </cfRule>
    <cfRule type="containsText" dxfId="128" priority="22" operator="containsText" text="Other">
      <formula>NOT(ISERROR(SEARCH("Other",B4)))</formula>
    </cfRule>
  </conditionalFormatting>
  <conditionalFormatting sqref="D25:AH25">
    <cfRule type="iconSet" priority="10">
      <iconSet iconSet="3Flags">
        <cfvo type="percent" val="0"/>
        <cfvo type="percent" val="33"/>
        <cfvo type="percent" val="67"/>
      </iconSet>
    </cfRule>
  </conditionalFormatting>
  <conditionalFormatting sqref="D25:AH25">
    <cfRule type="iconSet" priority="9">
      <iconSet iconSet="3Flags">
        <cfvo type="percent" val="0"/>
        <cfvo type="percent" val="33"/>
        <cfvo type="percent" val="67"/>
      </iconSet>
    </cfRule>
  </conditionalFormatting>
  <conditionalFormatting sqref="AJ31">
    <cfRule type="expression" dxfId="127" priority="5">
      <formula>AK$2</formula>
    </cfRule>
  </conditionalFormatting>
  <conditionalFormatting sqref="D26:AH26">
    <cfRule type="cellIs" dxfId="126" priority="1" operator="greaterThan">
      <formula>24</formula>
    </cfRule>
    <cfRule type="cellIs" dxfId="125" priority="2" operator="greaterThan">
      <formula>14</formula>
    </cfRule>
  </conditionalFormatting>
  <dataValidations count="1">
    <dataValidation type="decimal" allowBlank="1" showInputMessage="1" showErrorMessage="1" errorTitle="ERROR !" error="You may report min 0,5 and max 24 hrs per WP or Project" sqref="D4:AH23" xr:uid="{00000000-0002-0000-0A00-000000000000}">
      <formula1>0.5</formula1>
      <formula2>24</formula2>
    </dataValidation>
  </dataValidations>
  <printOptions horizontalCentered="1" verticalCentered="1"/>
  <pageMargins left="0.7" right="0.7" top="1.2072916666666667" bottom="0.75" header="0.45652173913043476" footer="0.3"/>
  <pageSetup paperSize="9" scale="50" orientation="landscape" r:id="rId1"/>
  <headerFooter>
    <oddHeader>&amp;L&amp;G&amp;C&amp;24TIMESHEET</oddHeader>
  </headerFooter>
  <legacyDrawingHF r:id="rId2"/>
  <extLst>
    <ext xmlns:x14="http://schemas.microsoft.com/office/spreadsheetml/2009/9/main" uri="{78C0D931-6437-407d-A8EE-F0AAD7539E65}">
      <x14:conditionalFormattings>
        <x14:conditionalFormatting xmlns:xm="http://schemas.microsoft.com/office/excel/2006/main">
          <x14:cfRule type="containsText" priority="17" operator="containsText" id="{EBE5CF86-B0F5-49D9-B739-158545B5B375}">
            <xm:f>NOT(ISERROR(SEARCH("Non-project",B4)))</xm:f>
            <xm:f>"Non-project"</xm:f>
            <x14:dxf>
              <fill>
                <patternFill>
                  <bgColor theme="6" tint="0.59996337778862885"/>
                </patternFill>
              </fill>
            </x14:dxf>
          </x14:cfRule>
          <xm:sqref>B4:C22</xm:sqref>
        </x14:conditionalFormatting>
        <x14:conditionalFormatting xmlns:xm="http://schemas.microsoft.com/office/excel/2006/main">
          <x14:cfRule type="iconSet" priority="8" id="{4AAE212B-3F68-4260-BBAF-CF559DFCEDF0}">
            <x14:iconSet iconSet="3Flags" showValue="0" custom="1">
              <x14:cfvo type="percent">
                <xm:f>0</xm:f>
              </x14:cfvo>
              <x14:cfvo type="num" gte="0">
                <xm:f>14</xm:f>
              </x14:cfvo>
              <x14:cfvo type="num" gte="0">
                <xm:f>24</xm:f>
              </x14:cfvo>
              <x14:cfIcon iconSet="NoIcons" iconId="0"/>
              <x14:cfIcon iconSet="3Flags" iconId="1"/>
              <x14:cfIcon iconSet="3Flags" iconId="0"/>
            </x14:iconSet>
          </x14:cfRule>
          <xm:sqref>D25:AH25</xm:sqref>
        </x14:conditionalFormatting>
        <x14:conditionalFormatting xmlns:xm="http://schemas.microsoft.com/office/excel/2006/main">
          <x14:cfRule type="iconSet" priority="4" id="{0FF58C70-93AE-4422-9A32-E79E1267C498}">
            <x14:iconSet iconSet="3Flags" showValue="0" custom="1">
              <x14:cfvo type="percent">
                <xm:f>0</xm:f>
              </x14:cfvo>
              <x14:cfvo type="num">
                <xm:f>0</xm:f>
              </x14:cfvo>
              <x14:cfvo type="num" gte="0">
                <xm:f>0</xm:f>
              </x14:cfvo>
              <x14:cfIcon iconSet="NoIcons" iconId="0"/>
              <x14:cfIcon iconSet="NoIcons" iconId="0"/>
              <x14:cfIcon iconSet="3Flags" iconId="1"/>
            </x14:iconSet>
          </x14:cfRule>
          <xm:sqref>AJ32</xm:sqref>
        </x14:conditionalFormatting>
        <x14:conditionalFormatting xmlns:xm="http://schemas.microsoft.com/office/excel/2006/main">
          <x14:cfRule type="iconSet" priority="3" id="{7F62E217-3853-4C30-A6E9-AADC8FBCC16B}">
            <x14:iconSet iconSet="3Flags" showValue="0" custom="1">
              <x14:cfvo type="percent">
                <xm:f>0</xm:f>
              </x14:cfvo>
              <x14:cfvo type="num">
                <xm:f>0</xm:f>
              </x14:cfvo>
              <x14:cfvo type="num" gte="0">
                <xm:f>0</xm:f>
              </x14:cfvo>
              <x14:cfIcon iconSet="NoIcons" iconId="0"/>
              <x14:cfIcon iconSet="NoIcons" iconId="0"/>
              <x14:cfIcon iconSet="3Flags" iconId="0"/>
            </x14:iconSet>
          </x14:cfRule>
          <xm:sqref>AJ33</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9">
    <tabColor theme="5" tint="-0.249977111117893"/>
    <pageSetUpPr fitToPage="1"/>
  </sheetPr>
  <dimension ref="B1:AO164"/>
  <sheetViews>
    <sheetView showGridLines="0" showZeros="0" zoomScale="40" zoomScaleNormal="40" zoomScaleSheetLayoutView="55" zoomScalePageLayoutView="110" workbookViewId="0">
      <selection activeCell="D4" sqref="D4"/>
    </sheetView>
  </sheetViews>
  <sheetFormatPr defaultColWidth="0" defaultRowHeight="15" customHeight="1" zeroHeight="1"/>
  <cols>
    <col min="1" max="1" width="1.54296875" style="12" customWidth="1"/>
    <col min="2" max="3" width="25.7265625" style="12" customWidth="1"/>
    <col min="4" max="32" width="5.26953125" style="12" customWidth="1"/>
    <col min="33" max="33" width="5.1796875" style="12" customWidth="1"/>
    <col min="34" max="34" width="5.26953125" style="12" customWidth="1"/>
    <col min="35" max="35" width="8.26953125" style="12" customWidth="1"/>
    <col min="36" max="36" width="8.1796875" style="12" bestFit="1" customWidth="1"/>
    <col min="37" max="37" width="29.26953125" style="12" customWidth="1"/>
    <col min="38" max="38" width="5.1796875" style="118" customWidth="1"/>
    <col min="39" max="16383" width="9.1796875" style="12" customWidth="1"/>
    <col min="16384" max="16384" width="2.1796875" style="12" customWidth="1"/>
  </cols>
  <sheetData>
    <row r="1" spans="2:38" ht="21">
      <c r="B1" s="96" t="s">
        <v>81</v>
      </c>
      <c r="C1" s="96">
        <f>Year</f>
        <v>2021</v>
      </c>
      <c r="D1" s="97"/>
      <c r="E1" s="97"/>
      <c r="F1" s="97"/>
      <c r="G1" s="97"/>
      <c r="H1" s="97"/>
      <c r="I1" s="97"/>
      <c r="J1" s="97"/>
      <c r="K1" s="97"/>
      <c r="L1" s="97"/>
      <c r="M1" s="97"/>
      <c r="N1" s="114"/>
      <c r="O1" s="97"/>
      <c r="P1" s="98" t="s">
        <v>6</v>
      </c>
      <c r="Q1" s="99">
        <f>Member</f>
        <v>0</v>
      </c>
      <c r="R1" s="97"/>
      <c r="S1" s="48"/>
      <c r="T1" s="48"/>
      <c r="U1" s="48"/>
      <c r="V1" s="48"/>
      <c r="W1" s="48"/>
      <c r="X1" s="48"/>
      <c r="Y1" s="48"/>
      <c r="Z1" s="48"/>
      <c r="AA1" s="48"/>
      <c r="AB1" s="48"/>
      <c r="AC1" s="115"/>
      <c r="AD1" s="48"/>
      <c r="AE1" s="34"/>
      <c r="AF1" s="48"/>
      <c r="AG1" s="48"/>
      <c r="AH1" s="48"/>
      <c r="AI1" s="34"/>
      <c r="AJ1" s="34"/>
    </row>
    <row r="2" spans="2:38" ht="12.75" customHeight="1">
      <c r="B2" s="36"/>
      <c r="C2" s="50">
        <f>C39</f>
        <v>39</v>
      </c>
      <c r="D2" s="50" t="b">
        <f ca="1">OR(OR(WEEKDAY(D3,2)=6,WEEKDAY(D3,2)=7),IFERROR(INDEX(INDIRECT("Shortened[WorkHours]"),MATCH(D3,INDIRECT("Shortened[DateInYear]"),0),0),0)&gt;7,IFERROR(INDEX(INDIRECT("Clamp[WorkHours]"),MATCH(D3,INDIRECT("Clamp[DateInYear]"),0),0),0)&gt;7,IFERROR(MATCH(D3,INDIRECT("Fixed_dates[DateInYear]"),0),0)&gt;0,IFERROR(MATCH(D3,INDIRECT("Fixed_weekdays[DateInYear]"),0),0)&gt;0)</f>
        <v>1</v>
      </c>
      <c r="E2" s="50" t="b">
        <f t="shared" ref="E2:AH2" ca="1" si="0">OR(OR(WEEKDAY(E3,2)=6,WEEKDAY(E3,2)=7),IFERROR(INDEX(INDIRECT("Shortened[WorkHours]"),MATCH(E3,INDIRECT("Shortened[DateInYear]"),0),0),0)&gt;7,IFERROR(INDEX(INDIRECT("Clamp[WorkHours]"),MATCH(E3,INDIRECT("Clamp[DateInYear]"),0),0),0)&gt;7,IFERROR(MATCH(E3,INDIRECT("Fixed_dates[DateInYear]"),0),0)&gt;0,IFERROR(MATCH(E3,INDIRECT("Fixed_weekdays[DateInYear]"),0),0)&gt;0)</f>
        <v>0</v>
      </c>
      <c r="F2" s="50" t="b">
        <f t="shared" ca="1" si="0"/>
        <v>0</v>
      </c>
      <c r="G2" s="50" t="b">
        <f t="shared" ca="1" si="0"/>
        <v>0</v>
      </c>
      <c r="H2" s="50" t="b">
        <f t="shared" ca="1" si="0"/>
        <v>0</v>
      </c>
      <c r="I2" s="50" t="b">
        <f t="shared" ca="1" si="0"/>
        <v>0</v>
      </c>
      <c r="J2" s="50" t="b">
        <f t="shared" ca="1" si="0"/>
        <v>1</v>
      </c>
      <c r="K2" s="50" t="b">
        <f t="shared" ca="1" si="0"/>
        <v>1</v>
      </c>
      <c r="L2" s="50" t="b">
        <f t="shared" ca="1" si="0"/>
        <v>0</v>
      </c>
      <c r="M2" s="50" t="b">
        <f t="shared" ca="1" si="0"/>
        <v>0</v>
      </c>
      <c r="N2" s="50" t="b">
        <f t="shared" ca="1" si="0"/>
        <v>0</v>
      </c>
      <c r="O2" s="50" t="b">
        <f t="shared" ca="1" si="0"/>
        <v>0</v>
      </c>
      <c r="P2" s="50" t="b">
        <f t="shared" ca="1" si="0"/>
        <v>0</v>
      </c>
      <c r="Q2" s="50" t="b">
        <f t="shared" ca="1" si="0"/>
        <v>1</v>
      </c>
      <c r="R2" s="116" t="b">
        <f t="shared" ca="1" si="0"/>
        <v>1</v>
      </c>
      <c r="S2" s="50" t="b">
        <f t="shared" ca="1" si="0"/>
        <v>0</v>
      </c>
      <c r="T2" s="50" t="b">
        <f t="shared" ca="1" si="0"/>
        <v>0</v>
      </c>
      <c r="U2" s="50" t="b">
        <f t="shared" ca="1" si="0"/>
        <v>0</v>
      </c>
      <c r="V2" s="50" t="b">
        <f t="shared" ca="1" si="0"/>
        <v>0</v>
      </c>
      <c r="W2" s="50" t="b">
        <f t="shared" ca="1" si="0"/>
        <v>0</v>
      </c>
      <c r="X2" s="50" t="b">
        <f t="shared" ca="1" si="0"/>
        <v>1</v>
      </c>
      <c r="Y2" s="50" t="b">
        <f t="shared" ca="1" si="0"/>
        <v>1</v>
      </c>
      <c r="Z2" s="50" t="b">
        <f t="shared" ca="1" si="0"/>
        <v>0</v>
      </c>
      <c r="AA2" s="50" t="b">
        <f t="shared" ca="1" si="0"/>
        <v>0</v>
      </c>
      <c r="AB2" s="50" t="b">
        <f t="shared" ca="1" si="0"/>
        <v>0</v>
      </c>
      <c r="AC2" s="50" t="b">
        <f t="shared" ca="1" si="0"/>
        <v>0</v>
      </c>
      <c r="AD2" s="50" t="b">
        <f t="shared" ca="1" si="0"/>
        <v>0</v>
      </c>
      <c r="AE2" s="50" t="b">
        <f t="shared" ca="1" si="0"/>
        <v>1</v>
      </c>
      <c r="AF2" s="50" t="b">
        <f ca="1">OR(OR(WEEKDAY(AF3,2)=6,WEEKDAY(AF3,2)=7),IFERROR(INDEX(INDIRECT("Shortened[WorkHours]"),MATCH(AF3,INDIRECT("Shortened[DateInYear]"),0),0),0)&gt;7,IFERROR(INDEX(INDIRECT("Clamp[WorkHours]"),MATCH(AF3,INDIRECT("Clamp[DateInYear]"),0),0),0)&gt;7,IFERROR(MATCH(AF3,INDIRECT("Fixed_dates[DateInYear]"),0),0)&gt;0,IFERROR(MATCH(AF3,INDIRECT("Fixed_weekdays[DateInYear]"),0),0)&gt;0)</f>
        <v>1</v>
      </c>
      <c r="AG2" s="50" t="b">
        <f t="shared" ca="1" si="0"/>
        <v>0</v>
      </c>
      <c r="AH2" s="50" t="b">
        <f t="shared" ca="1" si="0"/>
        <v>0</v>
      </c>
      <c r="AI2" s="100"/>
      <c r="AJ2" s="117"/>
    </row>
    <row r="3" spans="2:38" ht="17.149999999999999" customHeight="1">
      <c r="B3" s="85" t="s">
        <v>74</v>
      </c>
      <c r="C3" s="86"/>
      <c r="D3" s="87">
        <f>DATEVALUE(AloxÅr&amp;"-"&amp;VLOOKUP(LEFT(B1,3),Holidays!$M$4:$N$15,2,0)&amp;"-1")</f>
        <v>44409</v>
      </c>
      <c r="E3" s="87">
        <f>DATE(YEAR(D3),MONTH(D3),DAY(D3)+1)</f>
        <v>44410</v>
      </c>
      <c r="F3" s="87">
        <f t="shared" ref="F3:AH3" si="1">DATE(YEAR(E3),MONTH(E3),DAY(E3)+1)</f>
        <v>44411</v>
      </c>
      <c r="G3" s="87">
        <f t="shared" si="1"/>
        <v>44412</v>
      </c>
      <c r="H3" s="87">
        <f t="shared" si="1"/>
        <v>44413</v>
      </c>
      <c r="I3" s="87">
        <f t="shared" si="1"/>
        <v>44414</v>
      </c>
      <c r="J3" s="87">
        <f t="shared" si="1"/>
        <v>44415</v>
      </c>
      <c r="K3" s="87">
        <f t="shared" si="1"/>
        <v>44416</v>
      </c>
      <c r="L3" s="87">
        <f t="shared" si="1"/>
        <v>44417</v>
      </c>
      <c r="M3" s="87">
        <f t="shared" si="1"/>
        <v>44418</v>
      </c>
      <c r="N3" s="87">
        <f t="shared" si="1"/>
        <v>44419</v>
      </c>
      <c r="O3" s="87">
        <f t="shared" si="1"/>
        <v>44420</v>
      </c>
      <c r="P3" s="87">
        <f t="shared" si="1"/>
        <v>44421</v>
      </c>
      <c r="Q3" s="87">
        <f t="shared" si="1"/>
        <v>44422</v>
      </c>
      <c r="R3" s="87">
        <f t="shared" si="1"/>
        <v>44423</v>
      </c>
      <c r="S3" s="87">
        <f t="shared" si="1"/>
        <v>44424</v>
      </c>
      <c r="T3" s="87">
        <f t="shared" si="1"/>
        <v>44425</v>
      </c>
      <c r="U3" s="87">
        <f t="shared" si="1"/>
        <v>44426</v>
      </c>
      <c r="V3" s="87">
        <f t="shared" si="1"/>
        <v>44427</v>
      </c>
      <c r="W3" s="87">
        <f t="shared" si="1"/>
        <v>44428</v>
      </c>
      <c r="X3" s="87">
        <f t="shared" si="1"/>
        <v>44429</v>
      </c>
      <c r="Y3" s="87">
        <f t="shared" si="1"/>
        <v>44430</v>
      </c>
      <c r="Z3" s="87">
        <f t="shared" si="1"/>
        <v>44431</v>
      </c>
      <c r="AA3" s="87">
        <f t="shared" si="1"/>
        <v>44432</v>
      </c>
      <c r="AB3" s="87">
        <f t="shared" si="1"/>
        <v>44433</v>
      </c>
      <c r="AC3" s="87">
        <f t="shared" si="1"/>
        <v>44434</v>
      </c>
      <c r="AD3" s="87">
        <f t="shared" si="1"/>
        <v>44435</v>
      </c>
      <c r="AE3" s="87">
        <f t="shared" si="1"/>
        <v>44436</v>
      </c>
      <c r="AF3" s="87">
        <f t="shared" si="1"/>
        <v>44437</v>
      </c>
      <c r="AG3" s="87">
        <f t="shared" si="1"/>
        <v>44438</v>
      </c>
      <c r="AH3" s="209">
        <f t="shared" si="1"/>
        <v>44439</v>
      </c>
      <c r="AI3" s="113" t="s">
        <v>3</v>
      </c>
      <c r="AJ3" s="113" t="s">
        <v>97</v>
      </c>
      <c r="AK3" s="183" t="s">
        <v>213</v>
      </c>
    </row>
    <row r="4" spans="2:38" s="64" customFormat="1" ht="17.149999999999999" customHeight="1">
      <c r="B4" s="327" t="str">
        <f>IFERROR(Project.01&amp;" "&amp;WP.01&amp;" "&amp;Contract.01&amp;" "&amp;Type.01&amp;" "&amp;Activity.01," ")</f>
        <v xml:space="preserve">    </v>
      </c>
      <c r="C4" s="327"/>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9">
        <f t="shared" ref="AI4:AI23" si="2">SUM(D4:AH4)</f>
        <v>0</v>
      </c>
      <c r="AJ4" s="111" t="str">
        <f t="shared" ref="AJ4:AJ23" si="3">IFERROR(AI4/$AI$26,"")</f>
        <v/>
      </c>
      <c r="AK4" s="188"/>
      <c r="AL4" s="119"/>
    </row>
    <row r="5" spans="2:38" s="64" customFormat="1" ht="17.149999999999999" customHeight="1">
      <c r="B5" s="327" t="str">
        <f>IFERROR(Project.02&amp;" "&amp;WP.02&amp;" "&amp;Contract.02&amp;" "&amp;Type.02&amp;" "&amp;Activity.02," ")</f>
        <v xml:space="preserve">    </v>
      </c>
      <c r="C5" s="327"/>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9">
        <f t="shared" si="2"/>
        <v>0</v>
      </c>
      <c r="AJ5" s="111" t="str">
        <f t="shared" si="3"/>
        <v/>
      </c>
      <c r="AK5" s="188"/>
      <c r="AL5" s="119"/>
    </row>
    <row r="6" spans="2:38" s="64" customFormat="1" ht="17.149999999999999" customHeight="1">
      <c r="B6" s="327" t="str">
        <f>IFERROR(Project.03&amp;" "&amp;WP.03&amp;" "&amp;Contract.03&amp;" "&amp;Type.03&amp;" "&amp;Activity.03," ")</f>
        <v xml:space="preserve">    </v>
      </c>
      <c r="C6" s="327"/>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9">
        <f t="shared" si="2"/>
        <v>0</v>
      </c>
      <c r="AJ6" s="111" t="str">
        <f t="shared" si="3"/>
        <v/>
      </c>
      <c r="AK6" s="188"/>
      <c r="AL6" s="119"/>
    </row>
    <row r="7" spans="2:38" s="64" customFormat="1" ht="17.149999999999999" customHeight="1">
      <c r="B7" s="327" t="str">
        <f>IFERROR(Project.04&amp;" "&amp;WP.04&amp;" "&amp;Contract.04&amp;" "&amp;Type.04&amp;" "&amp;Activity.04," ")</f>
        <v xml:space="preserve">    </v>
      </c>
      <c r="C7" s="327"/>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9">
        <f t="shared" si="2"/>
        <v>0</v>
      </c>
      <c r="AJ7" s="111" t="str">
        <f t="shared" si="3"/>
        <v/>
      </c>
      <c r="AK7" s="188"/>
      <c r="AL7" s="119"/>
    </row>
    <row r="8" spans="2:38" s="64" customFormat="1" ht="17.149999999999999" customHeight="1">
      <c r="B8" s="327" t="str">
        <f>IFERROR(Project.05&amp;" "&amp;WP.05&amp;" "&amp;Contract.05&amp;" "&amp;Type.05&amp;" "&amp;Activity.05," ")</f>
        <v xml:space="preserve">    </v>
      </c>
      <c r="C8" s="327"/>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9">
        <f t="shared" si="2"/>
        <v>0</v>
      </c>
      <c r="AJ8" s="111" t="str">
        <f t="shared" si="3"/>
        <v/>
      </c>
      <c r="AK8" s="188"/>
      <c r="AL8" s="119"/>
    </row>
    <row r="9" spans="2:38" s="64" customFormat="1" ht="17.149999999999999" customHeight="1">
      <c r="B9" s="327" t="str">
        <f>IFERROR(Project.06&amp;" "&amp;WP.06&amp;" "&amp;Contract.06&amp;" "&amp;Type.06&amp;" "&amp;Activity.06," ")</f>
        <v xml:space="preserve">    </v>
      </c>
      <c r="C9" s="327"/>
      <c r="D9" s="88"/>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9">
        <f t="shared" si="2"/>
        <v>0</v>
      </c>
      <c r="AJ9" s="111" t="str">
        <f t="shared" si="3"/>
        <v/>
      </c>
      <c r="AK9" s="188"/>
      <c r="AL9" s="119"/>
    </row>
    <row r="10" spans="2:38" s="64" customFormat="1" ht="17.149999999999999" customHeight="1">
      <c r="B10" s="327" t="str">
        <f>IFERROR(Project.07&amp;" "&amp;WP.07&amp;" "&amp;Contract.07&amp;" "&amp;Type.07&amp;" "&amp;Activity.07," ")</f>
        <v xml:space="preserve">    </v>
      </c>
      <c r="C10" s="327"/>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9">
        <f t="shared" si="2"/>
        <v>0</v>
      </c>
      <c r="AJ10" s="111" t="str">
        <f t="shared" si="3"/>
        <v/>
      </c>
      <c r="AK10" s="188"/>
      <c r="AL10" s="119"/>
    </row>
    <row r="11" spans="2:38" s="64" customFormat="1" ht="17.149999999999999" customHeight="1">
      <c r="B11" s="327" t="str">
        <f>IFERROR(Project.08&amp;" "&amp;WP.08&amp;" "&amp;Contract.08&amp;" "&amp;Type.08&amp;" "&amp;Activity.08," ")</f>
        <v xml:space="preserve">    </v>
      </c>
      <c r="C11" s="327"/>
      <c r="D11" s="88"/>
      <c r="E11" s="88"/>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9">
        <f t="shared" si="2"/>
        <v>0</v>
      </c>
      <c r="AJ11" s="111" t="str">
        <f t="shared" si="3"/>
        <v/>
      </c>
      <c r="AK11" s="188"/>
      <c r="AL11" s="119"/>
    </row>
    <row r="12" spans="2:38" s="64" customFormat="1" ht="17.149999999999999" customHeight="1">
      <c r="B12" s="327" t="str">
        <f>(Project.09&amp;" "&amp;WP.09&amp;" "&amp;Contract.09&amp;" "&amp;Type.09&amp;" "&amp;Activity.09)</f>
        <v xml:space="preserve">    </v>
      </c>
      <c r="C12" s="327"/>
      <c r="D12" s="88"/>
      <c r="E12" s="88"/>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9">
        <f t="shared" si="2"/>
        <v>0</v>
      </c>
      <c r="AJ12" s="111" t="str">
        <f t="shared" si="3"/>
        <v/>
      </c>
      <c r="AK12" s="188"/>
      <c r="AL12" s="119"/>
    </row>
    <row r="13" spans="2:38" s="64" customFormat="1" ht="17.149999999999999" customHeight="1">
      <c r="B13" s="327" t="str">
        <f>IFERROR(Project.10&amp;" "&amp;WP.10&amp;" "&amp;Contract.10&amp;" "&amp;Type.10&amp;" "&amp;Activity.10," ")</f>
        <v xml:space="preserve">    </v>
      </c>
      <c r="C13" s="327"/>
      <c r="D13" s="88"/>
      <c r="E13" s="88"/>
      <c r="F13" s="88"/>
      <c r="G13" s="88"/>
      <c r="H13" s="88"/>
      <c r="I13" s="88"/>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9">
        <f t="shared" si="2"/>
        <v>0</v>
      </c>
      <c r="AJ13" s="111" t="str">
        <f t="shared" si="3"/>
        <v/>
      </c>
      <c r="AK13" s="188"/>
      <c r="AL13" s="119"/>
    </row>
    <row r="14" spans="2:38" s="64" customFormat="1" ht="17.149999999999999" customHeight="1">
      <c r="B14" s="327" t="str">
        <f>IFERROR(Project.11&amp;" "&amp;WP.11&amp;" "&amp;Contract.11&amp;" "&amp;Type.11&amp;" "&amp;Activity.11," ")</f>
        <v xml:space="preserve">    </v>
      </c>
      <c r="C14" s="327"/>
      <c r="D14" s="88"/>
      <c r="E14" s="88"/>
      <c r="F14" s="88"/>
      <c r="G14" s="88"/>
      <c r="H14" s="88"/>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9">
        <f t="shared" si="2"/>
        <v>0</v>
      </c>
      <c r="AJ14" s="111" t="str">
        <f t="shared" si="3"/>
        <v/>
      </c>
      <c r="AK14" s="188"/>
      <c r="AL14" s="119"/>
    </row>
    <row r="15" spans="2:38" s="64" customFormat="1" ht="17.149999999999999" customHeight="1">
      <c r="B15" s="327" t="str">
        <f>IFERROR(Project.12&amp;" "&amp;WP.12&amp;" "&amp;Contract.12&amp;" "&amp;Type.12&amp;" "&amp;Activity.12," ")</f>
        <v xml:space="preserve">    </v>
      </c>
      <c r="C15" s="327"/>
      <c r="D15" s="88"/>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9">
        <f t="shared" si="2"/>
        <v>0</v>
      </c>
      <c r="AJ15" s="111" t="str">
        <f t="shared" si="3"/>
        <v/>
      </c>
      <c r="AK15" s="188"/>
      <c r="AL15" s="119"/>
    </row>
    <row r="16" spans="2:38" s="64" customFormat="1" ht="17.149999999999999" customHeight="1">
      <c r="B16" s="327" t="str">
        <f>IFERROR(Project.13&amp;" "&amp;WP.13&amp;" "&amp;Contract.13&amp;" "&amp;Type.13&amp;" "&amp;Activity.13," ")</f>
        <v xml:space="preserve">    </v>
      </c>
      <c r="C16" s="327"/>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9">
        <f t="shared" si="2"/>
        <v>0</v>
      </c>
      <c r="AJ16" s="111" t="str">
        <f t="shared" si="3"/>
        <v/>
      </c>
      <c r="AK16" s="188"/>
      <c r="AL16" s="119"/>
    </row>
    <row r="17" spans="2:41" s="64" customFormat="1" ht="17.149999999999999" customHeight="1">
      <c r="B17" s="327" t="str">
        <f>IFERROR(Project.14&amp;" "&amp;WP.14&amp;" "&amp;Contract.14&amp;" "&amp;Type.14&amp;" "&amp;Activity.14," ")</f>
        <v xml:space="preserve">    </v>
      </c>
      <c r="C17" s="327"/>
      <c r="D17" s="88"/>
      <c r="E17" s="88"/>
      <c r="F17" s="88"/>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9">
        <f t="shared" si="2"/>
        <v>0</v>
      </c>
      <c r="AJ17" s="111" t="str">
        <f t="shared" si="3"/>
        <v/>
      </c>
      <c r="AK17" s="188"/>
      <c r="AL17" s="119"/>
    </row>
    <row r="18" spans="2:41" s="64" customFormat="1" ht="17.149999999999999" customHeight="1">
      <c r="B18" s="327" t="str">
        <f>IFERROR(Project.15&amp;" "&amp;WP.15&amp;" "&amp;Contract.15&amp;" "&amp;Type.15&amp;" "&amp;Activity.15," ")</f>
        <v xml:space="preserve">    </v>
      </c>
      <c r="C18" s="327"/>
      <c r="D18" s="88"/>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9">
        <f t="shared" si="2"/>
        <v>0</v>
      </c>
      <c r="AJ18" s="111" t="str">
        <f t="shared" si="3"/>
        <v/>
      </c>
      <c r="AK18" s="188"/>
      <c r="AL18" s="119"/>
    </row>
    <row r="19" spans="2:41" s="64" customFormat="1" ht="17.149999999999999" customHeight="1">
      <c r="B19" s="327" t="str">
        <f>IFERROR(Project.16&amp;" "&amp;WP.16&amp;" "&amp;Contract.16&amp;" "&amp;Type.16&amp;" "&amp;Activity.16," ")</f>
        <v xml:space="preserve">    </v>
      </c>
      <c r="C19" s="327"/>
      <c r="D19" s="88"/>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9">
        <f t="shared" si="2"/>
        <v>0</v>
      </c>
      <c r="AJ19" s="111" t="str">
        <f t="shared" si="3"/>
        <v/>
      </c>
      <c r="AK19" s="188"/>
      <c r="AL19" s="119"/>
    </row>
    <row r="20" spans="2:41" s="64" customFormat="1" ht="17.149999999999999" customHeight="1">
      <c r="B20" s="327" t="str">
        <f>IFERROR(Project.17&amp;" "&amp;WP.17&amp;" "&amp;Contract.17&amp;" "&amp;Type.17&amp;" "&amp;Activity.17," ")</f>
        <v xml:space="preserve">    </v>
      </c>
      <c r="C20" s="327"/>
      <c r="D20" s="88"/>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9">
        <f t="shared" si="2"/>
        <v>0</v>
      </c>
      <c r="AJ20" s="111" t="str">
        <f t="shared" si="3"/>
        <v/>
      </c>
      <c r="AK20" s="188"/>
      <c r="AL20" s="119"/>
    </row>
    <row r="21" spans="2:41" s="64" customFormat="1" ht="17.149999999999999" customHeight="1">
      <c r="B21" s="327" t="str">
        <f>IFERROR(Project.18&amp;" "&amp;WP.18&amp;" "&amp;Contract.18&amp;" "&amp;Type.18&amp;" "&amp;Activity.18," ")</f>
        <v xml:space="preserve">    </v>
      </c>
      <c r="C21" s="327"/>
      <c r="D21" s="88"/>
      <c r="E21" s="88"/>
      <c r="F21" s="88"/>
      <c r="G21" s="88"/>
      <c r="H21" s="88"/>
      <c r="I21" s="88"/>
      <c r="J21" s="88"/>
      <c r="K21" s="88"/>
      <c r="L21" s="88"/>
      <c r="M21" s="88"/>
      <c r="N21" s="88"/>
      <c r="O21" s="88"/>
      <c r="P21" s="88"/>
      <c r="Q21" s="88"/>
      <c r="R21" s="88"/>
      <c r="S21" s="88"/>
      <c r="T21" s="88"/>
      <c r="U21" s="88"/>
      <c r="V21" s="88"/>
      <c r="W21" s="88"/>
      <c r="X21" s="88"/>
      <c r="Y21" s="88"/>
      <c r="Z21" s="88"/>
      <c r="AA21" s="88"/>
      <c r="AB21" s="88"/>
      <c r="AC21" s="88"/>
      <c r="AD21" s="88"/>
      <c r="AE21" s="88"/>
      <c r="AF21" s="88"/>
      <c r="AG21" s="88"/>
      <c r="AH21" s="88"/>
      <c r="AI21" s="89">
        <f t="shared" si="2"/>
        <v>0</v>
      </c>
      <c r="AJ21" s="111" t="str">
        <f t="shared" si="3"/>
        <v/>
      </c>
      <c r="AK21" s="188"/>
      <c r="AL21" s="119"/>
    </row>
    <row r="22" spans="2:41" s="64" customFormat="1" ht="17.149999999999999" customHeight="1">
      <c r="B22" s="327" t="str">
        <f>IFERROR(Project.19&amp;" "&amp;WP.19&amp;" "&amp;Contract.19&amp;" "&amp;Type.19&amp;" "&amp;Activity.19," ")</f>
        <v xml:space="preserve">    </v>
      </c>
      <c r="C22" s="327"/>
      <c r="D22" s="88"/>
      <c r="E22" s="88"/>
      <c r="F22" s="88"/>
      <c r="G22" s="88"/>
      <c r="H22" s="88"/>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9">
        <f t="shared" si="2"/>
        <v>0</v>
      </c>
      <c r="AJ22" s="111" t="str">
        <f t="shared" si="3"/>
        <v/>
      </c>
      <c r="AK22" s="188"/>
      <c r="AL22" s="119"/>
    </row>
    <row r="23" spans="2:41" s="64" customFormat="1" ht="17.149999999999999" customHeight="1">
      <c r="B23" s="328" t="str">
        <f>IFERROR(Project.20&amp;" "&amp;WP.20&amp;" "&amp;Contract.20&amp;" "&amp;Type.20&amp;" "&amp;Activity.20," ")</f>
        <v xml:space="preserve">OTHER HOURS WORKED    </v>
      </c>
      <c r="C23" s="328"/>
      <c r="D23" s="88"/>
      <c r="E23" s="88"/>
      <c r="F23" s="88"/>
      <c r="G23" s="88"/>
      <c r="H23" s="88"/>
      <c r="I23" s="88"/>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9">
        <f t="shared" si="2"/>
        <v>0</v>
      </c>
      <c r="AJ23" s="111" t="str">
        <f t="shared" si="3"/>
        <v/>
      </c>
      <c r="AK23" s="188"/>
      <c r="AL23" s="119"/>
    </row>
    <row r="24" spans="2:41" s="64" customFormat="1" ht="17.149999999999999" customHeight="1">
      <c r="B24" s="207" t="s">
        <v>239</v>
      </c>
      <c r="C24" s="81"/>
      <c r="D24" s="208"/>
      <c r="E24" s="208"/>
      <c r="F24" s="208"/>
      <c r="G24" s="208"/>
      <c r="H24" s="208"/>
      <c r="I24" s="208"/>
      <c r="J24" s="208"/>
      <c r="K24" s="208"/>
      <c r="L24" s="208"/>
      <c r="M24" s="208"/>
      <c r="N24" s="208"/>
      <c r="O24" s="208"/>
      <c r="P24" s="208"/>
      <c r="Q24" s="208"/>
      <c r="R24" s="208"/>
      <c r="S24" s="208"/>
      <c r="T24" s="208"/>
      <c r="U24" s="208"/>
      <c r="V24" s="208"/>
      <c r="W24" s="208"/>
      <c r="X24" s="208"/>
      <c r="Y24" s="208"/>
      <c r="Z24" s="208"/>
      <c r="AA24" s="208"/>
      <c r="AB24" s="208"/>
      <c r="AC24" s="208"/>
      <c r="AD24" s="208"/>
      <c r="AE24" s="208"/>
      <c r="AF24" s="208"/>
      <c r="AG24" s="208"/>
      <c r="AH24" s="208"/>
      <c r="AI24" s="148">
        <f t="shared" ref="AI24" si="4">SUM(D24:AH24)</f>
        <v>0</v>
      </c>
      <c r="AJ24" s="149" t="str">
        <f>IFERROR(AI24/$AI$28,"")</f>
        <v/>
      </c>
      <c r="AK24" s="188"/>
      <c r="AL24" s="119"/>
    </row>
    <row r="25" spans="2:41" s="65" customFormat="1" ht="17.149999999999999" customHeight="1">
      <c r="B25" s="83" t="s">
        <v>56</v>
      </c>
      <c r="C25" s="84"/>
      <c r="D25" s="91">
        <f>D26</f>
        <v>0</v>
      </c>
      <c r="E25" s="91">
        <f t="shared" ref="E25:AH25" si="5">E26</f>
        <v>0</v>
      </c>
      <c r="F25" s="91">
        <f t="shared" si="5"/>
        <v>0</v>
      </c>
      <c r="G25" s="91">
        <f t="shared" si="5"/>
        <v>0</v>
      </c>
      <c r="H25" s="91">
        <f t="shared" si="5"/>
        <v>0</v>
      </c>
      <c r="I25" s="91">
        <f t="shared" si="5"/>
        <v>0</v>
      </c>
      <c r="J25" s="91">
        <f t="shared" si="5"/>
        <v>0</v>
      </c>
      <c r="K25" s="91">
        <f t="shared" si="5"/>
        <v>0</v>
      </c>
      <c r="L25" s="91">
        <f t="shared" si="5"/>
        <v>0</v>
      </c>
      <c r="M25" s="91">
        <f t="shared" si="5"/>
        <v>0</v>
      </c>
      <c r="N25" s="91">
        <f t="shared" si="5"/>
        <v>0</v>
      </c>
      <c r="O25" s="91">
        <f t="shared" si="5"/>
        <v>0</v>
      </c>
      <c r="P25" s="91">
        <f t="shared" si="5"/>
        <v>0</v>
      </c>
      <c r="Q25" s="91">
        <f t="shared" si="5"/>
        <v>0</v>
      </c>
      <c r="R25" s="91">
        <f t="shared" si="5"/>
        <v>0</v>
      </c>
      <c r="S25" s="91">
        <f t="shared" si="5"/>
        <v>0</v>
      </c>
      <c r="T25" s="91">
        <f t="shared" si="5"/>
        <v>0</v>
      </c>
      <c r="U25" s="91">
        <f t="shared" si="5"/>
        <v>0</v>
      </c>
      <c r="V25" s="91">
        <f t="shared" si="5"/>
        <v>0</v>
      </c>
      <c r="W25" s="91">
        <f t="shared" si="5"/>
        <v>0</v>
      </c>
      <c r="X25" s="91">
        <f t="shared" si="5"/>
        <v>0</v>
      </c>
      <c r="Y25" s="91">
        <f t="shared" si="5"/>
        <v>0</v>
      </c>
      <c r="Z25" s="91">
        <f t="shared" si="5"/>
        <v>0</v>
      </c>
      <c r="AA25" s="91">
        <f t="shared" si="5"/>
        <v>0</v>
      </c>
      <c r="AB25" s="91">
        <f t="shared" si="5"/>
        <v>0</v>
      </c>
      <c r="AC25" s="91">
        <f t="shared" si="5"/>
        <v>0</v>
      </c>
      <c r="AD25" s="91">
        <f t="shared" si="5"/>
        <v>0</v>
      </c>
      <c r="AE25" s="91">
        <f t="shared" si="5"/>
        <v>0</v>
      </c>
      <c r="AF25" s="91">
        <f t="shared" si="5"/>
        <v>0</v>
      </c>
      <c r="AG25" s="91">
        <f t="shared" si="5"/>
        <v>0</v>
      </c>
      <c r="AH25" s="210">
        <f t="shared" si="5"/>
        <v>0</v>
      </c>
      <c r="AI25" s="92"/>
      <c r="AJ25" s="82"/>
      <c r="AL25" s="120"/>
    </row>
    <row r="26" spans="2:41" s="64" customFormat="1" ht="17.149999999999999" customHeight="1">
      <c r="B26" s="318" t="s">
        <v>4</v>
      </c>
      <c r="C26" s="319"/>
      <c r="D26" s="93">
        <f t="shared" ref="D26:AH26" si="6">SUM(D4:D23)</f>
        <v>0</v>
      </c>
      <c r="E26" s="93">
        <f t="shared" si="6"/>
        <v>0</v>
      </c>
      <c r="F26" s="93">
        <f t="shared" si="6"/>
        <v>0</v>
      </c>
      <c r="G26" s="93">
        <f t="shared" si="6"/>
        <v>0</v>
      </c>
      <c r="H26" s="93">
        <f t="shared" si="6"/>
        <v>0</v>
      </c>
      <c r="I26" s="93">
        <f t="shared" si="6"/>
        <v>0</v>
      </c>
      <c r="J26" s="93">
        <f t="shared" si="6"/>
        <v>0</v>
      </c>
      <c r="K26" s="93">
        <f t="shared" si="6"/>
        <v>0</v>
      </c>
      <c r="L26" s="93">
        <f t="shared" si="6"/>
        <v>0</v>
      </c>
      <c r="M26" s="93">
        <f t="shared" si="6"/>
        <v>0</v>
      </c>
      <c r="N26" s="93">
        <f t="shared" si="6"/>
        <v>0</v>
      </c>
      <c r="O26" s="93">
        <f t="shared" si="6"/>
        <v>0</v>
      </c>
      <c r="P26" s="93">
        <f t="shared" si="6"/>
        <v>0</v>
      </c>
      <c r="Q26" s="93">
        <f t="shared" si="6"/>
        <v>0</v>
      </c>
      <c r="R26" s="93">
        <f t="shared" si="6"/>
        <v>0</v>
      </c>
      <c r="S26" s="93">
        <f t="shared" si="6"/>
        <v>0</v>
      </c>
      <c r="T26" s="93">
        <f t="shared" si="6"/>
        <v>0</v>
      </c>
      <c r="U26" s="93">
        <f t="shared" si="6"/>
        <v>0</v>
      </c>
      <c r="V26" s="93">
        <f t="shared" si="6"/>
        <v>0</v>
      </c>
      <c r="W26" s="93">
        <f t="shared" si="6"/>
        <v>0</v>
      </c>
      <c r="X26" s="93">
        <f t="shared" si="6"/>
        <v>0</v>
      </c>
      <c r="Y26" s="93">
        <f t="shared" si="6"/>
        <v>0</v>
      </c>
      <c r="Z26" s="93">
        <f t="shared" si="6"/>
        <v>0</v>
      </c>
      <c r="AA26" s="93">
        <f t="shared" si="6"/>
        <v>0</v>
      </c>
      <c r="AB26" s="93">
        <f t="shared" si="6"/>
        <v>0</v>
      </c>
      <c r="AC26" s="93">
        <f t="shared" si="6"/>
        <v>0</v>
      </c>
      <c r="AD26" s="93">
        <f t="shared" si="6"/>
        <v>0</v>
      </c>
      <c r="AE26" s="93">
        <f t="shared" si="6"/>
        <v>0</v>
      </c>
      <c r="AF26" s="93">
        <f t="shared" si="6"/>
        <v>0</v>
      </c>
      <c r="AG26" s="93">
        <f t="shared" si="6"/>
        <v>0</v>
      </c>
      <c r="AH26" s="211">
        <f t="shared" si="6"/>
        <v>0</v>
      </c>
      <c r="AI26" s="94">
        <f>SUM(D26:AH26)</f>
        <v>0</v>
      </c>
      <c r="AJ26" s="82"/>
      <c r="AK26" s="12"/>
      <c r="AL26" s="12"/>
      <c r="AM26" s="12"/>
      <c r="AN26" s="12"/>
      <c r="AO26" s="12"/>
    </row>
    <row r="27" spans="2:41" s="65" customFormat="1" ht="17.149999999999999" customHeight="1">
      <c r="B27" s="83" t="s">
        <v>56</v>
      </c>
      <c r="C27" s="84"/>
      <c r="D27" s="91"/>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210"/>
      <c r="AI27" s="92"/>
      <c r="AJ27" s="84"/>
      <c r="AK27" s="12"/>
      <c r="AL27" s="12"/>
      <c r="AM27" s="12"/>
      <c r="AN27" s="12"/>
      <c r="AO27" s="12"/>
    </row>
    <row r="28" spans="2:41" s="64" customFormat="1" ht="17.149999999999999" customHeight="1">
      <c r="B28" s="318" t="s">
        <v>5</v>
      </c>
      <c r="C28" s="319"/>
      <c r="D28" s="93">
        <f>SUM(D4:D24)</f>
        <v>0</v>
      </c>
      <c r="E28" s="93">
        <f t="shared" ref="E28:AH28" si="7">SUM(E4:E24)</f>
        <v>0</v>
      </c>
      <c r="F28" s="93">
        <f t="shared" si="7"/>
        <v>0</v>
      </c>
      <c r="G28" s="93">
        <f t="shared" si="7"/>
        <v>0</v>
      </c>
      <c r="H28" s="93">
        <f t="shared" si="7"/>
        <v>0</v>
      </c>
      <c r="I28" s="93">
        <f t="shared" si="7"/>
        <v>0</v>
      </c>
      <c r="J28" s="93">
        <f t="shared" si="7"/>
        <v>0</v>
      </c>
      <c r="K28" s="93">
        <f t="shared" si="7"/>
        <v>0</v>
      </c>
      <c r="L28" s="93">
        <f t="shared" si="7"/>
        <v>0</v>
      </c>
      <c r="M28" s="93">
        <f t="shared" si="7"/>
        <v>0</v>
      </c>
      <c r="N28" s="93">
        <f t="shared" si="7"/>
        <v>0</v>
      </c>
      <c r="O28" s="93">
        <f t="shared" si="7"/>
        <v>0</v>
      </c>
      <c r="P28" s="93">
        <f t="shared" si="7"/>
        <v>0</v>
      </c>
      <c r="Q28" s="93">
        <f t="shared" si="7"/>
        <v>0</v>
      </c>
      <c r="R28" s="93">
        <f t="shared" si="7"/>
        <v>0</v>
      </c>
      <c r="S28" s="93">
        <f t="shared" si="7"/>
        <v>0</v>
      </c>
      <c r="T28" s="93">
        <f t="shared" si="7"/>
        <v>0</v>
      </c>
      <c r="U28" s="93">
        <f t="shared" si="7"/>
        <v>0</v>
      </c>
      <c r="V28" s="93">
        <f t="shared" si="7"/>
        <v>0</v>
      </c>
      <c r="W28" s="93">
        <f t="shared" si="7"/>
        <v>0</v>
      </c>
      <c r="X28" s="93">
        <f t="shared" si="7"/>
        <v>0</v>
      </c>
      <c r="Y28" s="93">
        <f t="shared" si="7"/>
        <v>0</v>
      </c>
      <c r="Z28" s="93">
        <f t="shared" si="7"/>
        <v>0</v>
      </c>
      <c r="AA28" s="93">
        <f t="shared" si="7"/>
        <v>0</v>
      </c>
      <c r="AB28" s="93">
        <f t="shared" si="7"/>
        <v>0</v>
      </c>
      <c r="AC28" s="93">
        <f t="shared" si="7"/>
        <v>0</v>
      </c>
      <c r="AD28" s="93">
        <f t="shared" si="7"/>
        <v>0</v>
      </c>
      <c r="AE28" s="93">
        <f t="shared" si="7"/>
        <v>0</v>
      </c>
      <c r="AF28" s="93">
        <f t="shared" si="7"/>
        <v>0</v>
      </c>
      <c r="AG28" s="93">
        <f t="shared" si="7"/>
        <v>0</v>
      </c>
      <c r="AH28" s="211">
        <f t="shared" si="7"/>
        <v>0</v>
      </c>
      <c r="AI28" s="94">
        <f>SUM(D28:AH28)</f>
        <v>0</v>
      </c>
      <c r="AJ28" s="82"/>
      <c r="AK28" s="12"/>
      <c r="AL28" s="12"/>
      <c r="AM28" s="12"/>
      <c r="AN28" s="12"/>
      <c r="AO28" s="12"/>
    </row>
    <row r="29" spans="2:41" ht="17.25" customHeight="1">
      <c r="B29" s="53" t="s">
        <v>56</v>
      </c>
      <c r="C29" s="54"/>
      <c r="D29" s="47"/>
      <c r="E29" s="47"/>
      <c r="F29" s="47"/>
      <c r="G29" s="47"/>
      <c r="H29" s="47"/>
      <c r="I29" s="47"/>
      <c r="J29" s="47"/>
      <c r="K29" s="47"/>
      <c r="L29" s="47"/>
      <c r="M29" s="47"/>
      <c r="N29" s="47"/>
      <c r="O29" s="47"/>
      <c r="P29" s="47"/>
      <c r="Q29" s="47"/>
      <c r="R29" s="47"/>
      <c r="S29" s="47"/>
      <c r="T29" s="47"/>
      <c r="U29" s="47"/>
      <c r="V29" s="55"/>
      <c r="W29" s="55"/>
      <c r="X29" s="55"/>
      <c r="Y29" s="55"/>
      <c r="Z29" s="55"/>
      <c r="AA29" s="55"/>
      <c r="AB29" s="55"/>
      <c r="AC29" s="55"/>
      <c r="AD29" s="55"/>
      <c r="AE29" s="55"/>
      <c r="AF29" s="55"/>
      <c r="AG29" s="55"/>
      <c r="AH29" s="55"/>
      <c r="AI29" s="56"/>
      <c r="AJ29" s="11"/>
    </row>
    <row r="30" spans="2:41" ht="17.25" customHeight="1">
      <c r="B30" s="101" t="s">
        <v>8</v>
      </c>
      <c r="C30" s="102"/>
      <c r="D30" s="102"/>
      <c r="E30" s="102"/>
      <c r="F30" s="102"/>
      <c r="G30" s="103" t="s">
        <v>9</v>
      </c>
      <c r="H30" s="102"/>
      <c r="I30" s="11"/>
      <c r="J30" s="57"/>
      <c r="K30" s="11"/>
      <c r="L30" s="75"/>
      <c r="M30" s="11"/>
      <c r="N30" s="11"/>
      <c r="O30" s="11"/>
      <c r="P30" s="11"/>
      <c r="Q30" s="331" t="str">
        <f>'Start page'!D30</f>
        <v>• Missing information – Enter Project Acronym/name</v>
      </c>
      <c r="R30" s="331"/>
      <c r="S30" s="331"/>
      <c r="T30" s="331"/>
      <c r="U30" s="331"/>
      <c r="V30" s="331"/>
      <c r="W30" s="331"/>
      <c r="X30" s="331"/>
      <c r="Y30" s="331"/>
      <c r="Z30" s="331"/>
      <c r="AA30" s="331"/>
      <c r="AB30" s="331"/>
      <c r="AC30" s="331"/>
      <c r="AD30" s="331"/>
      <c r="AE30" s="331"/>
      <c r="AF30" s="331"/>
      <c r="AG30" s="331"/>
      <c r="AH30" s="331"/>
      <c r="AI30" s="331"/>
      <c r="AJ30" s="58"/>
    </row>
    <row r="31" spans="2:41" ht="15.5">
      <c r="B31" s="104" t="s">
        <v>56</v>
      </c>
      <c r="C31" s="95"/>
      <c r="D31" s="95"/>
      <c r="E31" s="95"/>
      <c r="F31" s="102"/>
      <c r="G31" s="95"/>
      <c r="H31" s="95"/>
      <c r="I31" s="11"/>
      <c r="J31" s="47"/>
      <c r="K31" s="47"/>
      <c r="L31" s="76"/>
      <c r="M31" s="47"/>
      <c r="N31" s="47"/>
      <c r="O31" s="47"/>
      <c r="P31" s="47"/>
      <c r="Q31" s="331"/>
      <c r="R31" s="331"/>
      <c r="S31" s="331"/>
      <c r="T31" s="331"/>
      <c r="U31" s="331"/>
      <c r="V31" s="331"/>
      <c r="W31" s="331"/>
      <c r="X31" s="331"/>
      <c r="Y31" s="331"/>
      <c r="Z31" s="331"/>
      <c r="AA31" s="331"/>
      <c r="AB31" s="331"/>
      <c r="AC31" s="331"/>
      <c r="AD31" s="331"/>
      <c r="AE31" s="331"/>
      <c r="AF31" s="331"/>
      <c r="AG31" s="331"/>
      <c r="AH31" s="331"/>
      <c r="AI31" s="331"/>
      <c r="AJ31" s="325" t="s">
        <v>230</v>
      </c>
      <c r="AK31" s="326"/>
    </row>
    <row r="32" spans="2:41" ht="15.5">
      <c r="B32" s="105" t="s">
        <v>56</v>
      </c>
      <c r="C32" s="106"/>
      <c r="D32" s="106"/>
      <c r="E32" s="95"/>
      <c r="F32" s="102"/>
      <c r="G32" s="106"/>
      <c r="H32" s="107"/>
      <c r="I32" s="61"/>
      <c r="J32" s="61"/>
      <c r="K32" s="61"/>
      <c r="L32" s="61"/>
      <c r="M32" s="61"/>
      <c r="N32" s="61"/>
      <c r="O32" s="47"/>
      <c r="P32" s="47"/>
      <c r="Q32" s="65"/>
      <c r="R32" s="65"/>
      <c r="S32" s="47"/>
      <c r="T32" s="47"/>
      <c r="U32" s="47"/>
      <c r="V32" s="47"/>
      <c r="W32" s="47"/>
      <c r="X32" s="316"/>
      <c r="Y32" s="316"/>
      <c r="Z32" s="316"/>
      <c r="AA32" s="316"/>
      <c r="AB32" s="317"/>
      <c r="AC32" s="317"/>
      <c r="AD32" s="58"/>
      <c r="AE32" s="316"/>
      <c r="AF32" s="316"/>
      <c r="AG32" s="316"/>
      <c r="AH32" s="316"/>
      <c r="AI32" s="77"/>
      <c r="AJ32" s="195">
        <v>1</v>
      </c>
      <c r="AK32" s="196" t="s">
        <v>234</v>
      </c>
    </row>
    <row r="33" spans="2:37" ht="15.5">
      <c r="B33" s="108">
        <f>Member</f>
        <v>0</v>
      </c>
      <c r="C33" s="95"/>
      <c r="D33" s="95"/>
      <c r="E33" s="95"/>
      <c r="F33" s="102"/>
      <c r="G33" s="95">
        <f>Supervisor</f>
        <v>0</v>
      </c>
      <c r="H33" s="102"/>
      <c r="I33" s="11"/>
      <c r="J33" s="47"/>
      <c r="K33" s="47"/>
      <c r="L33" s="47"/>
      <c r="M33" s="47"/>
      <c r="N33" s="47"/>
      <c r="O33" s="47"/>
      <c r="P33" s="47"/>
      <c r="Q33" s="331" t="str">
        <f>'Start page'!D6</f>
        <v>• Missing information – Fill in all names and title/function on the Start Page</v>
      </c>
      <c r="R33" s="331"/>
      <c r="S33" s="331"/>
      <c r="T33" s="331"/>
      <c r="U33" s="331"/>
      <c r="V33" s="331"/>
      <c r="W33" s="331"/>
      <c r="X33" s="331"/>
      <c r="Y33" s="331"/>
      <c r="Z33" s="331"/>
      <c r="AA33" s="331"/>
      <c r="AB33" s="331"/>
      <c r="AC33" s="331"/>
      <c r="AD33" s="331"/>
      <c r="AE33" s="331"/>
      <c r="AF33" s="331"/>
      <c r="AG33" s="331"/>
      <c r="AH33" s="331"/>
      <c r="AI33" s="331"/>
      <c r="AJ33" s="197">
        <v>2</v>
      </c>
      <c r="AK33" s="198" t="s">
        <v>231</v>
      </c>
    </row>
    <row r="34" spans="2:37" ht="18.75" customHeight="1">
      <c r="B34" s="109">
        <f>Title.member</f>
        <v>0</v>
      </c>
      <c r="C34" s="102"/>
      <c r="D34" s="95"/>
      <c r="E34" s="102"/>
      <c r="F34" s="102"/>
      <c r="G34" s="102">
        <f>Title.supervisor</f>
        <v>0</v>
      </c>
      <c r="H34" s="95"/>
      <c r="I34" s="11"/>
      <c r="J34" s="60"/>
      <c r="K34" s="11"/>
      <c r="L34" s="11"/>
      <c r="M34" s="11"/>
      <c r="N34" s="11"/>
      <c r="O34" s="47"/>
      <c r="P34" s="47"/>
      <c r="Q34" s="65"/>
      <c r="R34" s="65"/>
      <c r="S34" s="47"/>
      <c r="T34" s="47"/>
      <c r="U34" s="47"/>
      <c r="V34" s="47"/>
      <c r="W34" s="47"/>
      <c r="X34" s="179"/>
      <c r="Y34" s="179"/>
      <c r="Z34" s="179"/>
      <c r="AA34" s="179"/>
      <c r="AB34" s="180"/>
      <c r="AC34" s="180"/>
      <c r="AD34" s="58"/>
      <c r="AE34" s="181"/>
      <c r="AF34" s="181"/>
      <c r="AG34" s="181"/>
      <c r="AH34" s="181"/>
      <c r="AI34" s="59"/>
      <c r="AJ34" s="62"/>
    </row>
    <row r="35" spans="2:37" ht="18.75" customHeight="1">
      <c r="B35" s="109" t="s">
        <v>72</v>
      </c>
      <c r="C35" s="102"/>
      <c r="D35" s="95"/>
      <c r="E35" s="102"/>
      <c r="F35" s="102"/>
      <c r="G35" s="102" t="s">
        <v>73</v>
      </c>
      <c r="H35" s="95"/>
      <c r="I35" s="11"/>
      <c r="J35" s="60"/>
      <c r="K35" s="11"/>
      <c r="L35" s="11"/>
      <c r="M35" s="11"/>
      <c r="N35" s="11"/>
      <c r="O35" s="47"/>
      <c r="P35" s="47"/>
      <c r="Q35" s="65"/>
      <c r="R35" s="65"/>
      <c r="S35" s="47"/>
      <c r="T35" s="47"/>
      <c r="U35" s="47"/>
      <c r="V35" s="47"/>
      <c r="W35" s="47"/>
      <c r="X35" s="316"/>
      <c r="Y35" s="316"/>
      <c r="Z35" s="316"/>
      <c r="AA35" s="316"/>
      <c r="AB35" s="317"/>
      <c r="AC35" s="317"/>
      <c r="AD35" s="58"/>
      <c r="AE35" s="320"/>
      <c r="AF35" s="320"/>
      <c r="AG35" s="320"/>
      <c r="AH35" s="320"/>
      <c r="AI35" s="59"/>
      <c r="AJ35" s="62"/>
    </row>
    <row r="36" spans="2:37" ht="12" customHeight="1">
      <c r="B36" s="109"/>
      <c r="C36" s="102"/>
      <c r="D36" s="95"/>
      <c r="E36" s="102"/>
      <c r="F36" s="102"/>
      <c r="G36" s="102"/>
      <c r="H36" s="95"/>
      <c r="I36" s="11"/>
      <c r="J36" s="60"/>
      <c r="K36" s="11"/>
      <c r="L36" s="11"/>
      <c r="M36" s="11"/>
      <c r="N36" s="11"/>
      <c r="O36" s="47"/>
      <c r="P36" s="47"/>
      <c r="Q36" s="65"/>
      <c r="R36" s="65"/>
      <c r="S36" s="47"/>
      <c r="T36" s="47"/>
      <c r="U36" s="47"/>
      <c r="V36" s="47"/>
      <c r="W36" s="47"/>
      <c r="X36" s="77"/>
      <c r="Y36" s="77"/>
      <c r="Z36" s="77"/>
      <c r="AA36" s="77"/>
      <c r="AB36" s="78"/>
      <c r="AC36" s="78"/>
      <c r="AD36" s="58"/>
      <c r="AE36" s="79"/>
      <c r="AF36" s="79"/>
      <c r="AG36" s="79"/>
      <c r="AH36" s="79"/>
      <c r="AI36" s="59"/>
      <c r="AJ36" s="62"/>
    </row>
    <row r="37" spans="2:37" ht="23.25" customHeight="1">
      <c r="B37" s="105" t="s">
        <v>56</v>
      </c>
      <c r="C37" s="95"/>
      <c r="D37" s="106"/>
      <c r="E37" s="102"/>
      <c r="F37" s="102"/>
      <c r="G37" s="106"/>
      <c r="H37" s="110" t="s">
        <v>56</v>
      </c>
      <c r="I37" s="61"/>
      <c r="J37" s="61"/>
      <c r="K37" s="61"/>
      <c r="L37" s="61"/>
      <c r="M37" s="61"/>
      <c r="N37" s="61"/>
      <c r="O37" s="47"/>
      <c r="P37" s="47"/>
      <c r="Q37" s="331" t="str">
        <f>'Start page'!D29</f>
        <v/>
      </c>
      <c r="R37" s="331"/>
      <c r="S37" s="331"/>
      <c r="T37" s="331"/>
      <c r="U37" s="331"/>
      <c r="V37" s="331"/>
      <c r="W37" s="331"/>
      <c r="X37" s="331"/>
      <c r="Y37" s="331"/>
      <c r="Z37" s="331"/>
      <c r="AA37" s="331"/>
      <c r="AB37" s="331"/>
      <c r="AC37" s="331"/>
      <c r="AD37" s="331"/>
      <c r="AE37" s="331"/>
      <c r="AF37" s="331"/>
      <c r="AG37" s="331"/>
      <c r="AH37" s="331"/>
      <c r="AI37" s="331"/>
      <c r="AJ37" s="47"/>
    </row>
    <row r="38" spans="2:37" ht="19.5" customHeight="1">
      <c r="B38" s="108" t="s">
        <v>1</v>
      </c>
      <c r="C38" s="108"/>
      <c r="D38" s="95"/>
      <c r="E38" s="102"/>
      <c r="F38" s="102"/>
      <c r="G38" s="95" t="s">
        <v>1</v>
      </c>
      <c r="H38" s="102"/>
      <c r="I38" s="47"/>
      <c r="J38" s="47"/>
      <c r="K38" s="47"/>
      <c r="L38" s="47"/>
      <c r="M38" s="47"/>
      <c r="N38" s="47"/>
      <c r="O38" s="47"/>
      <c r="P38" s="47"/>
      <c r="Q38" s="47"/>
      <c r="R38" s="65"/>
      <c r="S38" s="47"/>
      <c r="T38" s="47"/>
      <c r="U38" s="47"/>
      <c r="V38" s="47"/>
      <c r="W38" s="77"/>
      <c r="X38" s="77"/>
      <c r="Y38" s="77"/>
      <c r="Z38" s="77"/>
      <c r="AA38" s="79"/>
      <c r="AB38" s="79"/>
      <c r="AC38" s="77"/>
      <c r="AD38" s="77"/>
      <c r="AE38" s="77"/>
      <c r="AF38" s="77"/>
      <c r="AG38" s="77"/>
      <c r="AH38" s="77"/>
      <c r="AI38" s="47"/>
      <c r="AJ38" s="11"/>
    </row>
    <row r="39" spans="2:37" ht="14.5">
      <c r="B39" s="37" t="s">
        <v>56</v>
      </c>
      <c r="C39" s="37">
        <f>ROW()</f>
        <v>39</v>
      </c>
      <c r="D39" s="64"/>
      <c r="E39" s="64"/>
      <c r="F39" s="64"/>
      <c r="G39" s="64"/>
      <c r="H39" s="64"/>
      <c r="I39" s="64"/>
      <c r="J39" s="64"/>
      <c r="K39" s="64"/>
      <c r="L39" s="64"/>
      <c r="M39" s="64"/>
      <c r="N39" s="64"/>
      <c r="O39" s="64"/>
      <c r="P39" s="65"/>
      <c r="Q39" s="65"/>
      <c r="R39" s="65"/>
      <c r="S39" s="65"/>
      <c r="T39" s="65"/>
      <c r="U39" s="65"/>
      <c r="V39" s="65"/>
      <c r="W39" s="65"/>
      <c r="X39" s="65"/>
      <c r="Y39" s="65"/>
      <c r="Z39" s="65"/>
      <c r="AA39" s="65"/>
      <c r="AB39" s="65"/>
      <c r="AC39" s="314"/>
      <c r="AD39" s="322"/>
      <c r="AE39" s="322"/>
      <c r="AF39" s="322"/>
      <c r="AG39" s="322"/>
      <c r="AH39" s="322"/>
      <c r="AI39" s="65"/>
    </row>
    <row r="40" spans="2:37" ht="14.5">
      <c r="P40" s="34"/>
      <c r="Q40" s="34"/>
      <c r="R40" s="34"/>
      <c r="S40" s="34"/>
      <c r="T40" s="34"/>
      <c r="U40" s="34"/>
      <c r="V40" s="34"/>
      <c r="W40" s="34"/>
      <c r="X40" s="34"/>
      <c r="Y40" s="34"/>
      <c r="Z40" s="34"/>
      <c r="AA40" s="34"/>
      <c r="AB40" s="34"/>
      <c r="AC40" s="323"/>
      <c r="AD40" s="324"/>
      <c r="AE40" s="324"/>
      <c r="AF40" s="324"/>
      <c r="AG40" s="324"/>
      <c r="AH40" s="324"/>
      <c r="AI40" s="34"/>
    </row>
    <row r="41" spans="2:37" ht="14.5">
      <c r="B41" s="306" t="s">
        <v>235</v>
      </c>
      <c r="C41" s="307"/>
      <c r="D41" s="307"/>
      <c r="E41" s="307"/>
      <c r="F41" s="307"/>
      <c r="G41" s="308"/>
      <c r="H41" s="308"/>
      <c r="I41" s="309"/>
      <c r="J41" s="309"/>
      <c r="K41" s="309"/>
      <c r="L41" s="309"/>
      <c r="M41" s="309"/>
      <c r="N41" s="309"/>
      <c r="O41" s="310"/>
      <c r="P41" s="34"/>
      <c r="Q41" s="34"/>
      <c r="R41" s="34"/>
      <c r="S41" s="34"/>
      <c r="T41" s="34"/>
      <c r="U41" s="34"/>
      <c r="V41" s="34"/>
      <c r="W41" s="34"/>
      <c r="X41" s="34"/>
      <c r="Y41" s="34"/>
      <c r="Z41" s="34"/>
      <c r="AA41" s="34"/>
      <c r="AB41" s="34"/>
      <c r="AC41" s="314"/>
      <c r="AD41" s="315"/>
      <c r="AE41" s="315"/>
      <c r="AF41" s="315"/>
      <c r="AG41" s="315"/>
      <c r="AH41" s="315"/>
      <c r="AI41" s="34"/>
    </row>
    <row r="42" spans="2:37" ht="14.5">
      <c r="B42" s="311"/>
      <c r="C42" s="312"/>
      <c r="D42" s="312"/>
      <c r="E42" s="312"/>
      <c r="F42" s="312"/>
      <c r="G42" s="312"/>
      <c r="H42" s="312"/>
      <c r="I42" s="312"/>
      <c r="J42" s="312"/>
      <c r="K42" s="312"/>
      <c r="L42" s="312"/>
      <c r="M42" s="312"/>
      <c r="N42" s="312"/>
      <c r="O42" s="313"/>
      <c r="P42" s="34"/>
      <c r="Q42" s="34"/>
      <c r="R42" s="34"/>
      <c r="S42" s="34"/>
      <c r="T42" s="34"/>
      <c r="U42" s="34"/>
      <c r="V42" s="34"/>
      <c r="W42" s="34"/>
      <c r="X42" s="34"/>
      <c r="Y42" s="34"/>
      <c r="Z42" s="34"/>
      <c r="AA42" s="34"/>
      <c r="AB42" s="34"/>
      <c r="AC42" s="314"/>
      <c r="AD42" s="315"/>
      <c r="AE42" s="315"/>
      <c r="AF42" s="315"/>
      <c r="AG42" s="315"/>
      <c r="AH42" s="315"/>
      <c r="AI42" s="34"/>
    </row>
    <row r="43" spans="2:37" ht="14.5">
      <c r="P43" s="34"/>
      <c r="Q43" s="34"/>
      <c r="R43" s="34"/>
      <c r="S43" s="34"/>
      <c r="T43" s="34"/>
      <c r="U43" s="34"/>
      <c r="V43" s="34"/>
      <c r="W43" s="34"/>
      <c r="X43" s="34"/>
      <c r="Y43" s="34"/>
      <c r="Z43" s="34"/>
      <c r="AA43" s="34"/>
      <c r="AB43" s="34"/>
      <c r="AC43" s="34"/>
      <c r="AD43" s="34"/>
      <c r="AE43" s="34"/>
      <c r="AF43" s="34"/>
      <c r="AG43" s="34"/>
      <c r="AH43" s="34"/>
      <c r="AI43" s="34"/>
    </row>
    <row r="44" spans="2:37" ht="14.5">
      <c r="P44" s="34"/>
      <c r="Q44" s="34"/>
      <c r="R44" s="34"/>
      <c r="S44" s="34"/>
      <c r="T44" s="34"/>
      <c r="U44" s="34"/>
      <c r="V44" s="34"/>
      <c r="W44" s="34"/>
      <c r="X44" s="34"/>
      <c r="Y44" s="34"/>
      <c r="Z44" s="34"/>
      <c r="AA44" s="34"/>
      <c r="AB44" s="34"/>
      <c r="AC44" s="34"/>
      <c r="AD44" s="34"/>
      <c r="AE44" s="34"/>
      <c r="AF44" s="34"/>
      <c r="AG44" s="34"/>
      <c r="AH44" s="34"/>
      <c r="AI44" s="34"/>
    </row>
    <row r="45" spans="2:37" ht="14.5"/>
    <row r="46" spans="2:37" ht="14.5"/>
    <row r="47" spans="2:37" ht="14.5"/>
    <row r="48" spans="2:37" ht="14.5"/>
    <row r="49" ht="14.5"/>
    <row r="50" ht="14.5"/>
    <row r="51" ht="14.5"/>
    <row r="52" ht="14.5"/>
    <row r="53" ht="14.5"/>
    <row r="54" ht="14.5"/>
    <row r="55" ht="14.5"/>
    <row r="56" ht="14.5"/>
    <row r="57" ht="14.5"/>
    <row r="58" ht="14.5"/>
    <row r="59" ht="14.5"/>
    <row r="60" ht="14.5"/>
    <row r="61" ht="14.5"/>
    <row r="62" ht="14.5"/>
    <row r="63" ht="14.5"/>
    <row r="64" ht="14.5"/>
    <row r="65" ht="14.5"/>
    <row r="66" ht="14.5"/>
    <row r="67" ht="14.5"/>
    <row r="68" ht="14.5"/>
    <row r="69" ht="14.5"/>
    <row r="70" ht="14.5"/>
    <row r="71" ht="14.5"/>
    <row r="72" ht="14.5"/>
    <row r="73" ht="14.5"/>
    <row r="74" ht="14.5"/>
    <row r="75" ht="14.5"/>
    <row r="76" ht="14.5"/>
    <row r="77" ht="14.5"/>
    <row r="78" ht="14.5"/>
    <row r="79" ht="14.5"/>
    <row r="80" ht="14.5"/>
    <row r="81" ht="14.5"/>
    <row r="82" ht="14.5"/>
    <row r="83" ht="14.5"/>
    <row r="84" ht="14.5"/>
    <row r="85" ht="14.5"/>
    <row r="86" ht="14.5"/>
    <row r="87" ht="14.5"/>
    <row r="88" ht="14.5"/>
    <row r="89" ht="14.5"/>
    <row r="90" ht="14.5"/>
    <row r="91" ht="14.5"/>
    <row r="92" ht="14.5"/>
    <row r="93" ht="14.5"/>
    <row r="94" ht="14.5"/>
    <row r="95" ht="14.5"/>
    <row r="96" ht="14.5"/>
    <row r="97" ht="14.5"/>
    <row r="98" ht="14.5"/>
    <row r="99" ht="14.5"/>
    <row r="100" ht="14.5"/>
    <row r="101" ht="14.5"/>
    <row r="102" ht="14.5"/>
    <row r="103" ht="14.5"/>
    <row r="104" ht="14.5"/>
    <row r="105" ht="14.5"/>
    <row r="106" ht="14.5"/>
    <row r="107" ht="14.5"/>
    <row r="108" ht="14.5"/>
    <row r="109" ht="14.5"/>
    <row r="110" ht="14.5"/>
    <row r="111" ht="14.5"/>
    <row r="112" ht="14.5"/>
    <row r="113" ht="14.5"/>
    <row r="114" ht="14.5"/>
    <row r="115" ht="14.5"/>
    <row r="116" ht="14.5"/>
    <row r="117" ht="14.5"/>
    <row r="118" ht="14.5"/>
    <row r="119" ht="14.5"/>
    <row r="120" ht="14.5"/>
    <row r="121" ht="14.5"/>
    <row r="122" ht="14.5"/>
    <row r="123" ht="14.5"/>
    <row r="124" ht="14.5"/>
    <row r="125" ht="14.5"/>
    <row r="126" ht="14.5"/>
    <row r="127" ht="14.5"/>
    <row r="128" ht="14.5"/>
    <row r="129" ht="14.5"/>
    <row r="130" ht="14.5"/>
    <row r="131" ht="14.5"/>
    <row r="132" ht="14.5"/>
    <row r="133" ht="14.5"/>
    <row r="134" ht="14.5"/>
    <row r="135" ht="14.5"/>
    <row r="136" ht="14.5"/>
    <row r="137" ht="14.5"/>
    <row r="138" ht="14.5"/>
    <row r="139" ht="14.5"/>
    <row r="140" ht="14.5"/>
    <row r="141" ht="14.5"/>
    <row r="142" ht="14.5"/>
    <row r="143" ht="14.5"/>
    <row r="144" ht="14.5"/>
    <row r="145" ht="14.5"/>
    <row r="146" ht="14.5"/>
    <row r="147" ht="14.5"/>
    <row r="148" ht="14.5"/>
    <row r="149" ht="14.5"/>
    <row r="150" ht="14.5"/>
    <row r="151" ht="14.5"/>
    <row r="152" ht="14.5"/>
    <row r="153" ht="14.5"/>
    <row r="154" ht="14.5"/>
    <row r="155" ht="14.5"/>
    <row r="156" ht="14.5"/>
    <row r="157" ht="14.5"/>
    <row r="158" ht="14.5"/>
    <row r="159" ht="14.5"/>
    <row r="160" ht="15" customHeight="1"/>
    <row r="161" ht="15" customHeight="1"/>
    <row r="162" ht="15" customHeight="1"/>
    <row r="163" ht="15" customHeight="1"/>
    <row r="164" ht="15" customHeight="1"/>
  </sheetData>
  <sheetProtection algorithmName="SHA-512" hashValue="8CbusoMQ985eWrJkIGuDLsfbONfE4im1Adu04WZ+pFDxNp/9xFTMaSvZvbsJuRsJBLEF2dIPjk1fSTq9qF+jbQ==" saltValue="n1AXi4DfUR4JZBXPy4sP3A==" spinCount="100000" sheet="1" selectLockedCells="1"/>
  <mergeCells count="38">
    <mergeCell ref="B41:O42"/>
    <mergeCell ref="B8:C8"/>
    <mergeCell ref="B4:C4"/>
    <mergeCell ref="B5:C5"/>
    <mergeCell ref="B6:C6"/>
    <mergeCell ref="B7:C7"/>
    <mergeCell ref="B20:C20"/>
    <mergeCell ref="B9:C9"/>
    <mergeCell ref="B10:C10"/>
    <mergeCell ref="B11:C11"/>
    <mergeCell ref="B12:C12"/>
    <mergeCell ref="B13:C13"/>
    <mergeCell ref="B14:C14"/>
    <mergeCell ref="B15:C15"/>
    <mergeCell ref="B16:C16"/>
    <mergeCell ref="B17:C17"/>
    <mergeCell ref="B18:C18"/>
    <mergeCell ref="B19:C19"/>
    <mergeCell ref="B21:C21"/>
    <mergeCell ref="B22:C22"/>
    <mergeCell ref="B23:C23"/>
    <mergeCell ref="Q30:AI30"/>
    <mergeCell ref="X35:AA35"/>
    <mergeCell ref="AB35:AC35"/>
    <mergeCell ref="AE35:AH35"/>
    <mergeCell ref="B26:C26"/>
    <mergeCell ref="B28:C28"/>
    <mergeCell ref="AC40:AH40"/>
    <mergeCell ref="AC41:AH41"/>
    <mergeCell ref="AC42:AH42"/>
    <mergeCell ref="AC39:AH39"/>
    <mergeCell ref="AJ31:AK31"/>
    <mergeCell ref="Q37:AI37"/>
    <mergeCell ref="X32:AA32"/>
    <mergeCell ref="AB32:AC32"/>
    <mergeCell ref="AE32:AH32"/>
    <mergeCell ref="Q33:AI33"/>
    <mergeCell ref="Q31:AI31"/>
  </mergeCells>
  <conditionalFormatting sqref="D4:AH23">
    <cfRule type="expression" dxfId="123" priority="31">
      <formula>D$2</formula>
    </cfRule>
  </conditionalFormatting>
  <conditionalFormatting sqref="J4:J23">
    <cfRule type="expression" dxfId="122" priority="32">
      <formula>J$2</formula>
    </cfRule>
  </conditionalFormatting>
  <conditionalFormatting sqref="D3:AH3">
    <cfRule type="expression" dxfId="121" priority="30">
      <formula>MATCH(D3,INDIRECT("Fixed_weekdays[DateInYear]"),0)&gt;0</formula>
    </cfRule>
  </conditionalFormatting>
  <conditionalFormatting sqref="D3:AH3">
    <cfRule type="expression" dxfId="120" priority="29">
      <formula>MATCH(D3,INDIRECT("Fixed_dates[DateInYear]"),0)&gt;0</formula>
    </cfRule>
  </conditionalFormatting>
  <conditionalFormatting sqref="D3:AH3">
    <cfRule type="expression" dxfId="119" priority="28">
      <formula>AND(INDEX(INDIRECT("Shortened[WorkHours]"),MATCH(D3,INDIRECT("Shortened[DateInYear]"),0),0)&gt;0,INDEX(INDIRECT("Shortened[WorkHours]"),MATCH(D3,INDIRECT("Shortened[DateInYear]"),0),0)&lt;8)</formula>
    </cfRule>
  </conditionalFormatting>
  <conditionalFormatting sqref="D3:AH3">
    <cfRule type="expression" dxfId="118" priority="27">
      <formula>AND(INDEX(INDIRECT("Clamp[WorkHours]"),MATCH(C3,INDIRECT("Clamp[DateInYear]"),0),0)&gt;0,INDEX(INDIRECT("Clamp[WorkHours]"),MATCH(C3,INDIRECT("Clamp[DateInYear]"),0),0)&lt;8)</formula>
    </cfRule>
  </conditionalFormatting>
  <conditionalFormatting sqref="D3:AH3">
    <cfRule type="expression" dxfId="117" priority="25">
      <formula>INDEX(INDIRECT("Shortened[WorkHours]"),MATCH(D3,INDIRECT("Shortened[DateInYear]"),0),0)&gt;7</formula>
    </cfRule>
    <cfRule type="expression" dxfId="116" priority="26">
      <formula>INDEX(INDIRECT("Clamp[WorkHours]"),MATCH(D3,INDIRECT("Clamp[DateInYear]"),0),0)&gt;7</formula>
    </cfRule>
  </conditionalFormatting>
  <conditionalFormatting sqref="D3:AH3">
    <cfRule type="expression" dxfId="115" priority="24">
      <formula>OR(WEEKDAY(D3,2)=6,WEEKDAY(D3,2)=7)</formula>
    </cfRule>
  </conditionalFormatting>
  <conditionalFormatting sqref="J18:J22">
    <cfRule type="expression" dxfId="114" priority="23">
      <formula>J$2</formula>
    </cfRule>
  </conditionalFormatting>
  <conditionalFormatting sqref="B4:C22">
    <cfRule type="containsText" dxfId="113" priority="15" operator="containsText" text="Other US">
      <formula>NOT(ISERROR(SEARCH("Other US",B4)))</formula>
    </cfRule>
    <cfRule type="containsText" dxfId="112" priority="16" operator="containsText" text="US Army">
      <formula>NOT(ISERROR(SEARCH("US Army",B4)))</formula>
    </cfRule>
    <cfRule type="containsText" dxfId="111" priority="18" operator="containsText" text="NIH">
      <formula>NOT(ISERROR(SEARCH("NIH",B4)))</formula>
    </cfRule>
    <cfRule type="containsText" dxfId="110" priority="19" operator="containsText" text="FP7">
      <formula>NOT(ISERROR(SEARCH("FP7",B4)))</formula>
    </cfRule>
    <cfRule type="containsText" dxfId="109" priority="20" operator="containsText" text="H2020">
      <formula>NOT(ISERROR(SEARCH("H2020",B4)))</formula>
    </cfRule>
    <cfRule type="containsText" dxfId="108" priority="21" operator="containsText" text="Sida">
      <formula>NOT(ISERROR(SEARCH("Sida",B4)))</formula>
    </cfRule>
    <cfRule type="containsText" dxfId="107" priority="22" operator="containsText" text="Other">
      <formula>NOT(ISERROR(SEARCH("Other",B4)))</formula>
    </cfRule>
  </conditionalFormatting>
  <conditionalFormatting sqref="D25:AH25">
    <cfRule type="iconSet" priority="10">
      <iconSet iconSet="3Flags">
        <cfvo type="percent" val="0"/>
        <cfvo type="percent" val="33"/>
        <cfvo type="percent" val="67"/>
      </iconSet>
    </cfRule>
  </conditionalFormatting>
  <conditionalFormatting sqref="D25:AH25">
    <cfRule type="iconSet" priority="9">
      <iconSet iconSet="3Flags">
        <cfvo type="percent" val="0"/>
        <cfvo type="percent" val="33"/>
        <cfvo type="percent" val="67"/>
      </iconSet>
    </cfRule>
  </conditionalFormatting>
  <conditionalFormatting sqref="AJ31">
    <cfRule type="expression" dxfId="106" priority="5">
      <formula>AK$2</formula>
    </cfRule>
  </conditionalFormatting>
  <conditionalFormatting sqref="D26:AH26">
    <cfRule type="cellIs" dxfId="105" priority="1" operator="greaterThan">
      <formula>24</formula>
    </cfRule>
    <cfRule type="cellIs" dxfId="104" priority="2" operator="greaterThan">
      <formula>14</formula>
    </cfRule>
  </conditionalFormatting>
  <dataValidations count="1">
    <dataValidation type="decimal" allowBlank="1" showInputMessage="1" showErrorMessage="1" errorTitle="ERROR !" error="You may report min 0,5 and max 24 hrs per WP or Project" sqref="D4:AH23" xr:uid="{00000000-0002-0000-0B00-000000000000}">
      <formula1>0.5</formula1>
      <formula2>24</formula2>
    </dataValidation>
  </dataValidations>
  <printOptions horizontalCentered="1" verticalCentered="1"/>
  <pageMargins left="0.7" right="0.7" top="1.2072916666666667" bottom="0.75" header="0.45652173913043476" footer="0.3"/>
  <pageSetup paperSize="9" scale="50" orientation="landscape" r:id="rId1"/>
  <headerFooter>
    <oddHeader>&amp;L&amp;G&amp;C&amp;24TIMESHEET</oddHeader>
  </headerFooter>
  <legacyDrawingHF r:id="rId2"/>
  <extLst>
    <ext xmlns:x14="http://schemas.microsoft.com/office/spreadsheetml/2009/9/main" uri="{78C0D931-6437-407d-A8EE-F0AAD7539E65}">
      <x14:conditionalFormattings>
        <x14:conditionalFormatting xmlns:xm="http://schemas.microsoft.com/office/excel/2006/main">
          <x14:cfRule type="containsText" priority="17" operator="containsText" id="{4FBB660B-7DAD-42FA-B22F-339857D2333C}">
            <xm:f>NOT(ISERROR(SEARCH("Non-project",B4)))</xm:f>
            <xm:f>"Non-project"</xm:f>
            <x14:dxf>
              <fill>
                <patternFill>
                  <bgColor theme="6" tint="0.59996337778862885"/>
                </patternFill>
              </fill>
            </x14:dxf>
          </x14:cfRule>
          <xm:sqref>B4:C22</xm:sqref>
        </x14:conditionalFormatting>
        <x14:conditionalFormatting xmlns:xm="http://schemas.microsoft.com/office/excel/2006/main">
          <x14:cfRule type="iconSet" priority="8" id="{0E116E5A-6CA7-470B-B7D8-18E4E6A73C70}">
            <x14:iconSet iconSet="3Flags" showValue="0" custom="1">
              <x14:cfvo type="percent">
                <xm:f>0</xm:f>
              </x14:cfvo>
              <x14:cfvo type="num" gte="0">
                <xm:f>14</xm:f>
              </x14:cfvo>
              <x14:cfvo type="num" gte="0">
                <xm:f>24</xm:f>
              </x14:cfvo>
              <x14:cfIcon iconSet="NoIcons" iconId="0"/>
              <x14:cfIcon iconSet="3Flags" iconId="1"/>
              <x14:cfIcon iconSet="3Flags" iconId="0"/>
            </x14:iconSet>
          </x14:cfRule>
          <xm:sqref>D25:AH25</xm:sqref>
        </x14:conditionalFormatting>
        <x14:conditionalFormatting xmlns:xm="http://schemas.microsoft.com/office/excel/2006/main">
          <x14:cfRule type="iconSet" priority="4" id="{253DAE15-6079-4B2F-AD11-F3CDF2F5A511}">
            <x14:iconSet iconSet="3Flags" showValue="0" custom="1">
              <x14:cfvo type="percent">
                <xm:f>0</xm:f>
              </x14:cfvo>
              <x14:cfvo type="num">
                <xm:f>0</xm:f>
              </x14:cfvo>
              <x14:cfvo type="num" gte="0">
                <xm:f>0</xm:f>
              </x14:cfvo>
              <x14:cfIcon iconSet="NoIcons" iconId="0"/>
              <x14:cfIcon iconSet="NoIcons" iconId="0"/>
              <x14:cfIcon iconSet="3Flags" iconId="1"/>
            </x14:iconSet>
          </x14:cfRule>
          <xm:sqref>AJ32</xm:sqref>
        </x14:conditionalFormatting>
        <x14:conditionalFormatting xmlns:xm="http://schemas.microsoft.com/office/excel/2006/main">
          <x14:cfRule type="iconSet" priority="3" id="{0F5BD006-43B8-4E02-8BC7-9D01491AB128}">
            <x14:iconSet iconSet="3Flags" showValue="0" custom="1">
              <x14:cfvo type="percent">
                <xm:f>0</xm:f>
              </x14:cfvo>
              <x14:cfvo type="num">
                <xm:f>0</xm:f>
              </x14:cfvo>
              <x14:cfvo type="num" gte="0">
                <xm:f>0</xm:f>
              </x14:cfvo>
              <x14:cfIcon iconSet="NoIcons" iconId="0"/>
              <x14:cfIcon iconSet="NoIcons" iconId="0"/>
              <x14:cfIcon iconSet="3Flags" iconId="0"/>
            </x14:iconSet>
          </x14:cfRule>
          <xm:sqref>AJ33</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0">
    <tabColor theme="5" tint="-0.249977111117893"/>
    <pageSetUpPr fitToPage="1"/>
  </sheetPr>
  <dimension ref="B1:AP164"/>
  <sheetViews>
    <sheetView showGridLines="0" showZeros="0" zoomScale="40" zoomScaleNormal="40" zoomScaleSheetLayoutView="40" zoomScalePageLayoutView="110" workbookViewId="0">
      <selection activeCell="D4" sqref="D4"/>
    </sheetView>
  </sheetViews>
  <sheetFormatPr defaultColWidth="0" defaultRowHeight="15" customHeight="1" zeroHeight="1"/>
  <cols>
    <col min="1" max="1" width="1.54296875" style="12" customWidth="1"/>
    <col min="2" max="3" width="25.7265625" style="12" customWidth="1"/>
    <col min="4" max="33" width="5.26953125" style="12" customWidth="1"/>
    <col min="34" max="34" width="5.26953125" style="12" hidden="1" customWidth="1"/>
    <col min="35" max="35" width="8.26953125" style="12" customWidth="1"/>
    <col min="36" max="36" width="8.1796875" style="12" bestFit="1" customWidth="1"/>
    <col min="37" max="37" width="29.26953125" style="12" customWidth="1"/>
    <col min="38" max="38" width="5.7265625" style="118" customWidth="1"/>
    <col min="39" max="16383" width="9.1796875" style="12" customWidth="1"/>
    <col min="16384" max="16384" width="2.1796875" style="12" customWidth="1"/>
  </cols>
  <sheetData>
    <row r="1" spans="2:38" ht="21">
      <c r="B1" s="96" t="s">
        <v>82</v>
      </c>
      <c r="C1" s="96">
        <f>Year</f>
        <v>2021</v>
      </c>
      <c r="D1" s="97"/>
      <c r="E1" s="97"/>
      <c r="F1" s="97"/>
      <c r="G1" s="97"/>
      <c r="H1" s="97"/>
      <c r="I1" s="97"/>
      <c r="J1" s="97"/>
      <c r="K1" s="97"/>
      <c r="L1" s="97"/>
      <c r="M1" s="97"/>
      <c r="N1" s="114"/>
      <c r="O1" s="97"/>
      <c r="P1" s="98" t="s">
        <v>6</v>
      </c>
      <c r="Q1" s="99">
        <f>Member</f>
        <v>0</v>
      </c>
      <c r="R1" s="97"/>
      <c r="S1" s="48"/>
      <c r="T1" s="48"/>
      <c r="U1" s="48"/>
      <c r="V1" s="48"/>
      <c r="W1" s="48"/>
      <c r="X1" s="48"/>
      <c r="Y1" s="48"/>
      <c r="Z1" s="48"/>
      <c r="AA1" s="48"/>
      <c r="AB1" s="48"/>
      <c r="AC1" s="115"/>
      <c r="AD1" s="48"/>
      <c r="AE1" s="34"/>
      <c r="AF1" s="48"/>
      <c r="AG1" s="48"/>
      <c r="AH1" s="48"/>
      <c r="AI1" s="34"/>
      <c r="AJ1" s="34"/>
    </row>
    <row r="2" spans="2:38" ht="12.75" customHeight="1">
      <c r="B2" s="36"/>
      <c r="C2" s="50">
        <f>C39</f>
        <v>39</v>
      </c>
      <c r="D2" s="50" t="b">
        <f ca="1">OR(OR(WEEKDAY(D3,2)=6,WEEKDAY(D3,2)=7),IFERROR(INDEX(INDIRECT("Shortened[WorkHours]"),MATCH(D3,INDIRECT("Shortened[DateInYear]"),0),0),0)&gt;7,IFERROR(INDEX(INDIRECT("Clamp[WorkHours]"),MATCH(D3,INDIRECT("Clamp[DateInYear]"),0),0),0)&gt;7,IFERROR(MATCH(D3,INDIRECT("Fixed_dates[DateInYear]"),0),0)&gt;0,IFERROR(MATCH(D3,INDIRECT("Fixed_weekdays[DateInYear]"),0),0)&gt;0)</f>
        <v>0</v>
      </c>
      <c r="E2" s="50" t="b">
        <f t="shared" ref="E2:AH2" ca="1" si="0">OR(OR(WEEKDAY(E3,2)=6,WEEKDAY(E3,2)=7),IFERROR(INDEX(INDIRECT("Shortened[WorkHours]"),MATCH(E3,INDIRECT("Shortened[DateInYear]"),0),0),0)&gt;7,IFERROR(INDEX(INDIRECT("Clamp[WorkHours]"),MATCH(E3,INDIRECT("Clamp[DateInYear]"),0),0),0)&gt;7,IFERROR(MATCH(E3,INDIRECT("Fixed_dates[DateInYear]"),0),0)&gt;0,IFERROR(MATCH(E3,INDIRECT("Fixed_weekdays[DateInYear]"),0),0)&gt;0)</f>
        <v>0</v>
      </c>
      <c r="F2" s="50" t="b">
        <f t="shared" ca="1" si="0"/>
        <v>0</v>
      </c>
      <c r="G2" s="50" t="b">
        <f t="shared" ca="1" si="0"/>
        <v>1</v>
      </c>
      <c r="H2" s="50" t="b">
        <f t="shared" ca="1" si="0"/>
        <v>1</v>
      </c>
      <c r="I2" s="50" t="b">
        <f t="shared" ca="1" si="0"/>
        <v>0</v>
      </c>
      <c r="J2" s="50" t="b">
        <f t="shared" ca="1" si="0"/>
        <v>0</v>
      </c>
      <c r="K2" s="50" t="b">
        <f t="shared" ca="1" si="0"/>
        <v>0</v>
      </c>
      <c r="L2" s="50" t="b">
        <f t="shared" ca="1" si="0"/>
        <v>0</v>
      </c>
      <c r="M2" s="50" t="b">
        <f t="shared" ca="1" si="0"/>
        <v>0</v>
      </c>
      <c r="N2" s="50" t="b">
        <f t="shared" ca="1" si="0"/>
        <v>1</v>
      </c>
      <c r="O2" s="50" t="b">
        <f t="shared" ca="1" si="0"/>
        <v>1</v>
      </c>
      <c r="P2" s="50" t="b">
        <f t="shared" ca="1" si="0"/>
        <v>0</v>
      </c>
      <c r="Q2" s="50" t="b">
        <f t="shared" ca="1" si="0"/>
        <v>0</v>
      </c>
      <c r="R2" s="116" t="b">
        <f t="shared" ca="1" si="0"/>
        <v>0</v>
      </c>
      <c r="S2" s="50" t="b">
        <f t="shared" ca="1" si="0"/>
        <v>0</v>
      </c>
      <c r="T2" s="50" t="b">
        <f t="shared" ca="1" si="0"/>
        <v>0</v>
      </c>
      <c r="U2" s="50" t="b">
        <f t="shared" ca="1" si="0"/>
        <v>1</v>
      </c>
      <c r="V2" s="50" t="b">
        <f t="shared" ca="1" si="0"/>
        <v>1</v>
      </c>
      <c r="W2" s="50" t="b">
        <f t="shared" ca="1" si="0"/>
        <v>0</v>
      </c>
      <c r="X2" s="50" t="b">
        <f t="shared" ca="1" si="0"/>
        <v>0</v>
      </c>
      <c r="Y2" s="50" t="b">
        <f t="shared" ca="1" si="0"/>
        <v>0</v>
      </c>
      <c r="Z2" s="50" t="b">
        <f t="shared" ca="1" si="0"/>
        <v>0</v>
      </c>
      <c r="AA2" s="50" t="b">
        <f t="shared" ca="1" si="0"/>
        <v>0</v>
      </c>
      <c r="AB2" s="50" t="b">
        <f t="shared" ca="1" si="0"/>
        <v>1</v>
      </c>
      <c r="AC2" s="50" t="b">
        <f t="shared" ca="1" si="0"/>
        <v>1</v>
      </c>
      <c r="AD2" s="50" t="b">
        <f t="shared" ca="1" si="0"/>
        <v>0</v>
      </c>
      <c r="AE2" s="50" t="b">
        <f t="shared" ca="1" si="0"/>
        <v>0</v>
      </c>
      <c r="AF2" s="50" t="b">
        <f ca="1">OR(OR(WEEKDAY(AF3,2)=6,WEEKDAY(AF3,2)=7),IFERROR(INDEX(INDIRECT("Shortened[WorkHours]"),MATCH(AF3,INDIRECT("Shortened[DateInYear]"),0),0),0)&gt;7,IFERROR(INDEX(INDIRECT("Clamp[WorkHours]"),MATCH(AF3,INDIRECT("Clamp[DateInYear]"),0),0),0)&gt;7,IFERROR(MATCH(AF3,INDIRECT("Fixed_dates[DateInYear]"),0),0)&gt;0,IFERROR(MATCH(AF3,INDIRECT("Fixed_weekdays[DateInYear]"),0),0)&gt;0)</f>
        <v>0</v>
      </c>
      <c r="AG2" s="50" t="b">
        <f t="shared" ca="1" si="0"/>
        <v>0</v>
      </c>
      <c r="AH2" s="50" t="b">
        <f t="shared" ca="1" si="0"/>
        <v>0</v>
      </c>
      <c r="AI2" s="100"/>
      <c r="AJ2" s="117"/>
    </row>
    <row r="3" spans="2:38" ht="17.149999999999999" customHeight="1">
      <c r="B3" s="85" t="s">
        <v>74</v>
      </c>
      <c r="C3" s="86"/>
      <c r="D3" s="87">
        <f>DATEVALUE(AloxÅr&amp;"-"&amp;VLOOKUP(LEFT(B1,3),Holidays!$M$4:$N$15,2,0)&amp;"-1")</f>
        <v>44440</v>
      </c>
      <c r="E3" s="87">
        <f>DATE(YEAR(D3),MONTH(D3),DAY(D3)+1)</f>
        <v>44441</v>
      </c>
      <c r="F3" s="87">
        <f t="shared" ref="F3:AH3" si="1">DATE(YEAR(E3),MONTH(E3),DAY(E3)+1)</f>
        <v>44442</v>
      </c>
      <c r="G3" s="87">
        <f t="shared" si="1"/>
        <v>44443</v>
      </c>
      <c r="H3" s="87">
        <f t="shared" si="1"/>
        <v>44444</v>
      </c>
      <c r="I3" s="87">
        <f t="shared" si="1"/>
        <v>44445</v>
      </c>
      <c r="J3" s="87">
        <f t="shared" si="1"/>
        <v>44446</v>
      </c>
      <c r="K3" s="87">
        <f t="shared" si="1"/>
        <v>44447</v>
      </c>
      <c r="L3" s="87">
        <f t="shared" si="1"/>
        <v>44448</v>
      </c>
      <c r="M3" s="87">
        <f t="shared" si="1"/>
        <v>44449</v>
      </c>
      <c r="N3" s="87">
        <f t="shared" si="1"/>
        <v>44450</v>
      </c>
      <c r="O3" s="87">
        <f t="shared" si="1"/>
        <v>44451</v>
      </c>
      <c r="P3" s="87">
        <f t="shared" si="1"/>
        <v>44452</v>
      </c>
      <c r="Q3" s="87">
        <f t="shared" si="1"/>
        <v>44453</v>
      </c>
      <c r="R3" s="87">
        <f t="shared" si="1"/>
        <v>44454</v>
      </c>
      <c r="S3" s="87">
        <f t="shared" si="1"/>
        <v>44455</v>
      </c>
      <c r="T3" s="87">
        <f t="shared" si="1"/>
        <v>44456</v>
      </c>
      <c r="U3" s="87">
        <f t="shared" si="1"/>
        <v>44457</v>
      </c>
      <c r="V3" s="87">
        <f t="shared" si="1"/>
        <v>44458</v>
      </c>
      <c r="W3" s="87">
        <f t="shared" si="1"/>
        <v>44459</v>
      </c>
      <c r="X3" s="87">
        <f t="shared" si="1"/>
        <v>44460</v>
      </c>
      <c r="Y3" s="87">
        <f t="shared" si="1"/>
        <v>44461</v>
      </c>
      <c r="Z3" s="87">
        <f t="shared" si="1"/>
        <v>44462</v>
      </c>
      <c r="AA3" s="87">
        <f t="shared" si="1"/>
        <v>44463</v>
      </c>
      <c r="AB3" s="87">
        <f t="shared" si="1"/>
        <v>44464</v>
      </c>
      <c r="AC3" s="87">
        <f t="shared" si="1"/>
        <v>44465</v>
      </c>
      <c r="AD3" s="87">
        <f t="shared" si="1"/>
        <v>44466</v>
      </c>
      <c r="AE3" s="87">
        <f t="shared" si="1"/>
        <v>44467</v>
      </c>
      <c r="AF3" s="87">
        <f t="shared" si="1"/>
        <v>44468</v>
      </c>
      <c r="AG3" s="87">
        <f t="shared" si="1"/>
        <v>44469</v>
      </c>
      <c r="AH3" s="87">
        <f t="shared" si="1"/>
        <v>44470</v>
      </c>
      <c r="AI3" s="113" t="s">
        <v>3</v>
      </c>
      <c r="AJ3" s="113" t="s">
        <v>97</v>
      </c>
      <c r="AK3" s="183" t="s">
        <v>213</v>
      </c>
    </row>
    <row r="4" spans="2:38" s="64" customFormat="1" ht="17.149999999999999" customHeight="1">
      <c r="B4" s="327" t="str">
        <f>IFERROR(Project.01&amp;" "&amp;WP.01&amp;" "&amp;Contract.01&amp;" "&amp;Type.01&amp;" "&amp;Activity.01," ")</f>
        <v xml:space="preserve">    </v>
      </c>
      <c r="C4" s="327"/>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191"/>
      <c r="AI4" s="89">
        <f>SUM(D4:AG4)</f>
        <v>0</v>
      </c>
      <c r="AJ4" s="111" t="str">
        <f t="shared" ref="AJ4:AJ23" si="2">IFERROR(AI4/$AI$26,"")</f>
        <v/>
      </c>
      <c r="AK4" s="188"/>
      <c r="AL4" s="119"/>
    </row>
    <row r="5" spans="2:38" s="64" customFormat="1" ht="17.149999999999999" customHeight="1">
      <c r="B5" s="327" t="str">
        <f>IFERROR(Project.02&amp;" "&amp;WP.02&amp;" "&amp;Contract.02&amp;" "&amp;Type.02&amp;" "&amp;Activity.02," ")</f>
        <v xml:space="preserve">    </v>
      </c>
      <c r="C5" s="327"/>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191"/>
      <c r="AI5" s="89">
        <f t="shared" ref="AI5:AI23" si="3">SUM(D5:AG5)</f>
        <v>0</v>
      </c>
      <c r="AJ5" s="111" t="str">
        <f t="shared" si="2"/>
        <v/>
      </c>
      <c r="AK5" s="188"/>
      <c r="AL5" s="119"/>
    </row>
    <row r="6" spans="2:38" s="64" customFormat="1" ht="17.149999999999999" customHeight="1">
      <c r="B6" s="327" t="str">
        <f>IFERROR(Project.03&amp;" "&amp;WP.03&amp;" "&amp;Contract.03&amp;" "&amp;Type.03&amp;" "&amp;Activity.03," ")</f>
        <v xml:space="preserve">    </v>
      </c>
      <c r="C6" s="327"/>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191"/>
      <c r="AI6" s="89">
        <f t="shared" si="3"/>
        <v>0</v>
      </c>
      <c r="AJ6" s="111" t="str">
        <f t="shared" si="2"/>
        <v/>
      </c>
      <c r="AK6" s="188"/>
      <c r="AL6" s="119"/>
    </row>
    <row r="7" spans="2:38" s="64" customFormat="1" ht="17.149999999999999" customHeight="1">
      <c r="B7" s="327" t="str">
        <f>IFERROR(Project.04&amp;" "&amp;WP.04&amp;" "&amp;Contract.04&amp;" "&amp;Type.04&amp;" "&amp;Activity.04," ")</f>
        <v xml:space="preserve">    </v>
      </c>
      <c r="C7" s="327"/>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191"/>
      <c r="AI7" s="89">
        <f t="shared" si="3"/>
        <v>0</v>
      </c>
      <c r="AJ7" s="111" t="str">
        <f t="shared" si="2"/>
        <v/>
      </c>
      <c r="AK7" s="188"/>
      <c r="AL7" s="119"/>
    </row>
    <row r="8" spans="2:38" s="64" customFormat="1" ht="17.149999999999999" customHeight="1">
      <c r="B8" s="327" t="str">
        <f>IFERROR(Project.05&amp;" "&amp;WP.05&amp;" "&amp;Contract.05&amp;" "&amp;Type.05&amp;" "&amp;Activity.05," ")</f>
        <v xml:space="preserve">    </v>
      </c>
      <c r="C8" s="327"/>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191"/>
      <c r="AI8" s="89">
        <f t="shared" si="3"/>
        <v>0</v>
      </c>
      <c r="AJ8" s="111" t="str">
        <f t="shared" si="2"/>
        <v/>
      </c>
      <c r="AK8" s="188"/>
      <c r="AL8" s="119"/>
    </row>
    <row r="9" spans="2:38" s="64" customFormat="1" ht="17.149999999999999" customHeight="1">
      <c r="B9" s="327" t="str">
        <f>IFERROR(Project.06&amp;" "&amp;WP.06&amp;" "&amp;Contract.06&amp;" "&amp;Type.06&amp;" "&amp;Activity.06," ")</f>
        <v xml:space="preserve">    </v>
      </c>
      <c r="C9" s="327"/>
      <c r="D9" s="88"/>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191"/>
      <c r="AI9" s="89">
        <f t="shared" si="3"/>
        <v>0</v>
      </c>
      <c r="AJ9" s="111" t="str">
        <f t="shared" si="2"/>
        <v/>
      </c>
      <c r="AK9" s="188"/>
      <c r="AL9" s="119"/>
    </row>
    <row r="10" spans="2:38" s="64" customFormat="1" ht="17.149999999999999" customHeight="1">
      <c r="B10" s="327" t="str">
        <f>IFERROR(Project.07&amp;" "&amp;WP.07&amp;" "&amp;Contract.07&amp;" "&amp;Type.07&amp;" "&amp;Activity.07," ")</f>
        <v xml:space="preserve">    </v>
      </c>
      <c r="C10" s="327"/>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191"/>
      <c r="AI10" s="89">
        <f t="shared" si="3"/>
        <v>0</v>
      </c>
      <c r="AJ10" s="111" t="str">
        <f t="shared" si="2"/>
        <v/>
      </c>
      <c r="AK10" s="188"/>
      <c r="AL10" s="119"/>
    </row>
    <row r="11" spans="2:38" s="64" customFormat="1" ht="17.149999999999999" customHeight="1">
      <c r="B11" s="327" t="str">
        <f>IFERROR(Project.08&amp;" "&amp;WP.08&amp;" "&amp;Contract.08&amp;" "&amp;Type.08&amp;" "&amp;Activity.08," ")</f>
        <v xml:space="preserve">    </v>
      </c>
      <c r="C11" s="327"/>
      <c r="D11" s="88"/>
      <c r="E11" s="88"/>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191"/>
      <c r="AI11" s="89">
        <f t="shared" si="3"/>
        <v>0</v>
      </c>
      <c r="AJ11" s="111" t="str">
        <f t="shared" si="2"/>
        <v/>
      </c>
      <c r="AK11" s="188"/>
      <c r="AL11" s="119"/>
    </row>
    <row r="12" spans="2:38" s="64" customFormat="1" ht="17.149999999999999" customHeight="1">
      <c r="B12" s="327" t="str">
        <f>(Project.09&amp;" "&amp;WP.09&amp;" "&amp;Contract.09&amp;" "&amp;Type.09&amp;" "&amp;Activity.09)</f>
        <v xml:space="preserve">    </v>
      </c>
      <c r="C12" s="327"/>
      <c r="D12" s="88"/>
      <c r="E12" s="88"/>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191"/>
      <c r="AI12" s="89">
        <f t="shared" si="3"/>
        <v>0</v>
      </c>
      <c r="AJ12" s="111" t="str">
        <f t="shared" si="2"/>
        <v/>
      </c>
      <c r="AK12" s="188"/>
      <c r="AL12" s="119"/>
    </row>
    <row r="13" spans="2:38" s="64" customFormat="1" ht="17.149999999999999" customHeight="1">
      <c r="B13" s="327" t="str">
        <f>IFERROR(Project.10&amp;" "&amp;WP.10&amp;" "&amp;Contract.10&amp;" "&amp;Type.10&amp;" "&amp;Activity.10," ")</f>
        <v xml:space="preserve">    </v>
      </c>
      <c r="C13" s="327"/>
      <c r="D13" s="88"/>
      <c r="E13" s="88"/>
      <c r="F13" s="88"/>
      <c r="G13" s="88"/>
      <c r="H13" s="88"/>
      <c r="I13" s="88"/>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191"/>
      <c r="AI13" s="89">
        <f t="shared" si="3"/>
        <v>0</v>
      </c>
      <c r="AJ13" s="111" t="str">
        <f t="shared" si="2"/>
        <v/>
      </c>
      <c r="AK13" s="188"/>
      <c r="AL13" s="119"/>
    </row>
    <row r="14" spans="2:38" s="64" customFormat="1" ht="17.149999999999999" customHeight="1">
      <c r="B14" s="327" t="str">
        <f>IFERROR(Project.11&amp;" "&amp;WP.11&amp;" "&amp;Contract.11&amp;" "&amp;Type.11&amp;" "&amp;Activity.11," ")</f>
        <v xml:space="preserve">    </v>
      </c>
      <c r="C14" s="327"/>
      <c r="D14" s="88"/>
      <c r="E14" s="88"/>
      <c r="F14" s="88"/>
      <c r="G14" s="88"/>
      <c r="H14" s="88"/>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191"/>
      <c r="AI14" s="89">
        <f t="shared" si="3"/>
        <v>0</v>
      </c>
      <c r="AJ14" s="111" t="str">
        <f t="shared" si="2"/>
        <v/>
      </c>
      <c r="AK14" s="188"/>
      <c r="AL14" s="119"/>
    </row>
    <row r="15" spans="2:38" s="64" customFormat="1" ht="17.149999999999999" customHeight="1">
      <c r="B15" s="327" t="str">
        <f>IFERROR(Project.12&amp;" "&amp;WP.12&amp;" "&amp;Contract.12&amp;" "&amp;Type.12&amp;" "&amp;Activity.12," ")</f>
        <v xml:space="preserve">    </v>
      </c>
      <c r="C15" s="327"/>
      <c r="D15" s="88"/>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191"/>
      <c r="AI15" s="89">
        <f t="shared" si="3"/>
        <v>0</v>
      </c>
      <c r="AJ15" s="111" t="str">
        <f t="shared" si="2"/>
        <v/>
      </c>
      <c r="AK15" s="188"/>
      <c r="AL15" s="119"/>
    </row>
    <row r="16" spans="2:38" s="64" customFormat="1" ht="17.149999999999999" customHeight="1">
      <c r="B16" s="327" t="str">
        <f>IFERROR(Project.13&amp;" "&amp;WP.13&amp;" "&amp;Contract.13&amp;" "&amp;Type.13&amp;" "&amp;Activity.13," ")</f>
        <v xml:space="preserve">    </v>
      </c>
      <c r="C16" s="327"/>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190"/>
      <c r="AI16" s="89">
        <f t="shared" si="3"/>
        <v>0</v>
      </c>
      <c r="AJ16" s="111" t="str">
        <f t="shared" si="2"/>
        <v/>
      </c>
      <c r="AK16" s="188"/>
      <c r="AL16" s="119"/>
    </row>
    <row r="17" spans="2:42" s="64" customFormat="1" ht="17.149999999999999" customHeight="1">
      <c r="B17" s="327" t="str">
        <f>IFERROR(Project.14&amp;" "&amp;WP.14&amp;" "&amp;Contract.14&amp;" "&amp;Type.14&amp;" "&amp;Activity.14," ")</f>
        <v xml:space="preserve">    </v>
      </c>
      <c r="C17" s="327"/>
      <c r="D17" s="88"/>
      <c r="E17" s="88"/>
      <c r="F17" s="88"/>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190"/>
      <c r="AI17" s="89">
        <f t="shared" si="3"/>
        <v>0</v>
      </c>
      <c r="AJ17" s="111" t="str">
        <f t="shared" si="2"/>
        <v/>
      </c>
      <c r="AK17" s="188"/>
      <c r="AL17" s="119"/>
    </row>
    <row r="18" spans="2:42" s="64" customFormat="1" ht="17.149999999999999" customHeight="1">
      <c r="B18" s="327" t="str">
        <f>IFERROR(Project.15&amp;" "&amp;WP.15&amp;" "&amp;Contract.15&amp;" "&amp;Type.15&amp;" "&amp;Activity.15," ")</f>
        <v xml:space="preserve">    </v>
      </c>
      <c r="C18" s="327"/>
      <c r="D18" s="88"/>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191"/>
      <c r="AI18" s="89">
        <f t="shared" si="3"/>
        <v>0</v>
      </c>
      <c r="AJ18" s="111" t="str">
        <f t="shared" si="2"/>
        <v/>
      </c>
      <c r="AK18" s="188"/>
      <c r="AL18" s="119"/>
    </row>
    <row r="19" spans="2:42" s="64" customFormat="1" ht="17.149999999999999" customHeight="1">
      <c r="B19" s="327" t="str">
        <f>IFERROR(Project.16&amp;" "&amp;WP.16&amp;" "&amp;Contract.16&amp;" "&amp;Type.16&amp;" "&amp;Activity.16," ")</f>
        <v xml:space="preserve">    </v>
      </c>
      <c r="C19" s="327"/>
      <c r="D19" s="88"/>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191"/>
      <c r="AI19" s="89">
        <f t="shared" si="3"/>
        <v>0</v>
      </c>
      <c r="AJ19" s="111" t="str">
        <f t="shared" si="2"/>
        <v/>
      </c>
      <c r="AK19" s="188"/>
      <c r="AL19" s="119"/>
    </row>
    <row r="20" spans="2:42" s="64" customFormat="1" ht="17.149999999999999" customHeight="1">
      <c r="B20" s="327" t="str">
        <f>IFERROR(Project.17&amp;" "&amp;WP.17&amp;" "&amp;Contract.17&amp;" "&amp;Type.17&amp;" "&amp;Activity.17," ")</f>
        <v xml:space="preserve">    </v>
      </c>
      <c r="C20" s="327"/>
      <c r="D20" s="88"/>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191"/>
      <c r="AI20" s="89">
        <f t="shared" si="3"/>
        <v>0</v>
      </c>
      <c r="AJ20" s="111" t="str">
        <f t="shared" si="2"/>
        <v/>
      </c>
      <c r="AK20" s="188"/>
      <c r="AL20" s="119"/>
    </row>
    <row r="21" spans="2:42" s="64" customFormat="1" ht="17.149999999999999" customHeight="1">
      <c r="B21" s="327" t="str">
        <f>IFERROR(Project.18&amp;" "&amp;WP.18&amp;" "&amp;Contract.18&amp;" "&amp;Type.18&amp;" "&amp;Activity.18," ")</f>
        <v xml:space="preserve">    </v>
      </c>
      <c r="C21" s="327"/>
      <c r="D21" s="88"/>
      <c r="E21" s="88"/>
      <c r="F21" s="88"/>
      <c r="G21" s="88"/>
      <c r="H21" s="88"/>
      <c r="I21" s="88"/>
      <c r="J21" s="88"/>
      <c r="K21" s="88"/>
      <c r="L21" s="88"/>
      <c r="M21" s="88"/>
      <c r="N21" s="88"/>
      <c r="O21" s="88"/>
      <c r="P21" s="88"/>
      <c r="Q21" s="88"/>
      <c r="R21" s="88"/>
      <c r="S21" s="88"/>
      <c r="T21" s="88"/>
      <c r="U21" s="88"/>
      <c r="V21" s="88"/>
      <c r="W21" s="88"/>
      <c r="X21" s="88"/>
      <c r="Y21" s="88"/>
      <c r="Z21" s="88"/>
      <c r="AA21" s="88"/>
      <c r="AB21" s="88"/>
      <c r="AC21" s="88"/>
      <c r="AD21" s="88"/>
      <c r="AE21" s="88"/>
      <c r="AF21" s="88"/>
      <c r="AG21" s="88"/>
      <c r="AH21" s="191"/>
      <c r="AI21" s="89">
        <f t="shared" si="3"/>
        <v>0</v>
      </c>
      <c r="AJ21" s="111" t="str">
        <f t="shared" si="2"/>
        <v/>
      </c>
      <c r="AK21" s="188"/>
      <c r="AL21" s="119"/>
    </row>
    <row r="22" spans="2:42" s="64" customFormat="1" ht="17.149999999999999" customHeight="1">
      <c r="B22" s="327" t="str">
        <f>IFERROR(Project.19&amp;" "&amp;WP.19&amp;" "&amp;Contract.19&amp;" "&amp;Type.19&amp;" "&amp;Activity.19," ")</f>
        <v xml:space="preserve">    </v>
      </c>
      <c r="C22" s="327"/>
      <c r="D22" s="88"/>
      <c r="E22" s="88"/>
      <c r="F22" s="88"/>
      <c r="G22" s="88"/>
      <c r="H22" s="88"/>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191"/>
      <c r="AI22" s="89">
        <f t="shared" si="3"/>
        <v>0</v>
      </c>
      <c r="AJ22" s="111" t="str">
        <f t="shared" si="2"/>
        <v/>
      </c>
      <c r="AK22" s="188"/>
      <c r="AL22" s="119"/>
    </row>
    <row r="23" spans="2:42" s="64" customFormat="1" ht="17.149999999999999" customHeight="1">
      <c r="B23" s="328" t="str">
        <f>IFERROR(Project.20&amp;" "&amp;WP.20&amp;" "&amp;Contract.20&amp;" "&amp;Type.20&amp;" "&amp;Activity.20," ")</f>
        <v xml:space="preserve">OTHER HOURS WORKED    </v>
      </c>
      <c r="C23" s="328"/>
      <c r="D23" s="88"/>
      <c r="E23" s="88"/>
      <c r="F23" s="88"/>
      <c r="G23" s="88"/>
      <c r="H23" s="88"/>
      <c r="I23" s="88"/>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191"/>
      <c r="AI23" s="89">
        <f t="shared" si="3"/>
        <v>0</v>
      </c>
      <c r="AJ23" s="111" t="str">
        <f t="shared" si="2"/>
        <v/>
      </c>
      <c r="AK23" s="188"/>
      <c r="AL23" s="119"/>
    </row>
    <row r="24" spans="2:42" s="64" customFormat="1" ht="17.149999999999999" customHeight="1">
      <c r="B24" s="207" t="s">
        <v>239</v>
      </c>
      <c r="C24" s="81"/>
      <c r="D24" s="208"/>
      <c r="E24" s="208"/>
      <c r="F24" s="208"/>
      <c r="G24" s="208"/>
      <c r="H24" s="208"/>
      <c r="I24" s="208"/>
      <c r="J24" s="208"/>
      <c r="K24" s="208"/>
      <c r="L24" s="208"/>
      <c r="M24" s="208"/>
      <c r="N24" s="208"/>
      <c r="O24" s="208"/>
      <c r="P24" s="208"/>
      <c r="Q24" s="208"/>
      <c r="R24" s="208"/>
      <c r="S24" s="208"/>
      <c r="T24" s="208"/>
      <c r="U24" s="208"/>
      <c r="V24" s="208"/>
      <c r="W24" s="208"/>
      <c r="X24" s="208"/>
      <c r="Y24" s="208"/>
      <c r="Z24" s="208"/>
      <c r="AA24" s="208"/>
      <c r="AB24" s="208"/>
      <c r="AC24" s="208"/>
      <c r="AD24" s="208"/>
      <c r="AE24" s="208"/>
      <c r="AF24" s="208"/>
      <c r="AG24" s="208"/>
      <c r="AH24" s="90"/>
      <c r="AI24" s="148">
        <f>SUM(D24:AG24)</f>
        <v>0</v>
      </c>
      <c r="AJ24" s="149" t="str">
        <f>IFERROR(AI24/$AI$28,"")</f>
        <v/>
      </c>
      <c r="AK24" s="188"/>
      <c r="AL24" s="119"/>
    </row>
    <row r="25" spans="2:42" s="65" customFormat="1" ht="17.149999999999999" customHeight="1">
      <c r="B25" s="83" t="s">
        <v>56</v>
      </c>
      <c r="C25" s="84"/>
      <c r="D25" s="91">
        <f>D26</f>
        <v>0</v>
      </c>
      <c r="E25" s="91">
        <f t="shared" ref="E25:AG25" si="4">E26</f>
        <v>0</v>
      </c>
      <c r="F25" s="91">
        <f t="shared" si="4"/>
        <v>0</v>
      </c>
      <c r="G25" s="91">
        <f t="shared" si="4"/>
        <v>0</v>
      </c>
      <c r="H25" s="91">
        <f t="shared" si="4"/>
        <v>0</v>
      </c>
      <c r="I25" s="91">
        <f t="shared" si="4"/>
        <v>0</v>
      </c>
      <c r="J25" s="91">
        <f t="shared" si="4"/>
        <v>0</v>
      </c>
      <c r="K25" s="91">
        <f t="shared" si="4"/>
        <v>0</v>
      </c>
      <c r="L25" s="91">
        <f t="shared" si="4"/>
        <v>0</v>
      </c>
      <c r="M25" s="91">
        <f t="shared" si="4"/>
        <v>0</v>
      </c>
      <c r="N25" s="91">
        <f t="shared" si="4"/>
        <v>0</v>
      </c>
      <c r="O25" s="91">
        <f t="shared" si="4"/>
        <v>0</v>
      </c>
      <c r="P25" s="91">
        <f t="shared" si="4"/>
        <v>0</v>
      </c>
      <c r="Q25" s="91">
        <f t="shared" si="4"/>
        <v>0</v>
      </c>
      <c r="R25" s="91">
        <f t="shared" si="4"/>
        <v>0</v>
      </c>
      <c r="S25" s="91">
        <f t="shared" si="4"/>
        <v>0</v>
      </c>
      <c r="T25" s="91">
        <f t="shared" si="4"/>
        <v>0</v>
      </c>
      <c r="U25" s="91">
        <f t="shared" si="4"/>
        <v>0</v>
      </c>
      <c r="V25" s="91">
        <f t="shared" si="4"/>
        <v>0</v>
      </c>
      <c r="W25" s="91">
        <f t="shared" si="4"/>
        <v>0</v>
      </c>
      <c r="X25" s="91">
        <f t="shared" si="4"/>
        <v>0</v>
      </c>
      <c r="Y25" s="91">
        <f t="shared" si="4"/>
        <v>0</v>
      </c>
      <c r="Z25" s="91">
        <f t="shared" si="4"/>
        <v>0</v>
      </c>
      <c r="AA25" s="91">
        <f t="shared" si="4"/>
        <v>0</v>
      </c>
      <c r="AB25" s="91">
        <f t="shared" si="4"/>
        <v>0</v>
      </c>
      <c r="AC25" s="91">
        <f t="shared" si="4"/>
        <v>0</v>
      </c>
      <c r="AD25" s="91">
        <f t="shared" si="4"/>
        <v>0</v>
      </c>
      <c r="AE25" s="91">
        <f t="shared" si="4"/>
        <v>0</v>
      </c>
      <c r="AF25" s="91">
        <f t="shared" si="4"/>
        <v>0</v>
      </c>
      <c r="AG25" s="91">
        <f t="shared" si="4"/>
        <v>0</v>
      </c>
      <c r="AH25" s="91"/>
      <c r="AI25" s="92"/>
      <c r="AJ25" s="82"/>
      <c r="AL25" s="120"/>
    </row>
    <row r="26" spans="2:42" s="64" customFormat="1" ht="17.149999999999999" customHeight="1">
      <c r="B26" s="318" t="s">
        <v>4</v>
      </c>
      <c r="C26" s="319"/>
      <c r="D26" s="93">
        <f t="shared" ref="D26:AG26" si="5">SUM(D4:D23)</f>
        <v>0</v>
      </c>
      <c r="E26" s="93">
        <f t="shared" si="5"/>
        <v>0</v>
      </c>
      <c r="F26" s="93">
        <f t="shared" si="5"/>
        <v>0</v>
      </c>
      <c r="G26" s="93">
        <f t="shared" si="5"/>
        <v>0</v>
      </c>
      <c r="H26" s="93">
        <f t="shared" si="5"/>
        <v>0</v>
      </c>
      <c r="I26" s="93">
        <f t="shared" si="5"/>
        <v>0</v>
      </c>
      <c r="J26" s="93">
        <f t="shared" si="5"/>
        <v>0</v>
      </c>
      <c r="K26" s="93">
        <f t="shared" si="5"/>
        <v>0</v>
      </c>
      <c r="L26" s="93">
        <f t="shared" si="5"/>
        <v>0</v>
      </c>
      <c r="M26" s="93">
        <f t="shared" si="5"/>
        <v>0</v>
      </c>
      <c r="N26" s="93">
        <f t="shared" si="5"/>
        <v>0</v>
      </c>
      <c r="O26" s="93">
        <f t="shared" si="5"/>
        <v>0</v>
      </c>
      <c r="P26" s="93">
        <f t="shared" si="5"/>
        <v>0</v>
      </c>
      <c r="Q26" s="93">
        <f t="shared" si="5"/>
        <v>0</v>
      </c>
      <c r="R26" s="93">
        <f t="shared" si="5"/>
        <v>0</v>
      </c>
      <c r="S26" s="93">
        <f t="shared" si="5"/>
        <v>0</v>
      </c>
      <c r="T26" s="93">
        <f t="shared" si="5"/>
        <v>0</v>
      </c>
      <c r="U26" s="93">
        <f t="shared" si="5"/>
        <v>0</v>
      </c>
      <c r="V26" s="93">
        <f t="shared" si="5"/>
        <v>0</v>
      </c>
      <c r="W26" s="93">
        <f t="shared" si="5"/>
        <v>0</v>
      </c>
      <c r="X26" s="93">
        <f t="shared" si="5"/>
        <v>0</v>
      </c>
      <c r="Y26" s="93">
        <f t="shared" si="5"/>
        <v>0</v>
      </c>
      <c r="Z26" s="93">
        <f t="shared" si="5"/>
        <v>0</v>
      </c>
      <c r="AA26" s="93">
        <f t="shared" si="5"/>
        <v>0</v>
      </c>
      <c r="AB26" s="93">
        <f t="shared" si="5"/>
        <v>0</v>
      </c>
      <c r="AC26" s="93">
        <f t="shared" si="5"/>
        <v>0</v>
      </c>
      <c r="AD26" s="93">
        <f t="shared" si="5"/>
        <v>0</v>
      </c>
      <c r="AE26" s="93">
        <f t="shared" si="5"/>
        <v>0</v>
      </c>
      <c r="AF26" s="93">
        <f t="shared" si="5"/>
        <v>0</v>
      </c>
      <c r="AG26" s="93">
        <f t="shared" si="5"/>
        <v>0</v>
      </c>
      <c r="AH26" s="93"/>
      <c r="AI26" s="94">
        <f>SUM(D26:AG26)</f>
        <v>0</v>
      </c>
      <c r="AJ26" s="82"/>
      <c r="AK26" s="12"/>
      <c r="AL26" s="12"/>
      <c r="AM26" s="12"/>
      <c r="AN26" s="12"/>
      <c r="AO26" s="12"/>
      <c r="AP26" s="12"/>
    </row>
    <row r="27" spans="2:42" s="65" customFormat="1" ht="17.149999999999999" customHeight="1">
      <c r="B27" s="83" t="s">
        <v>56</v>
      </c>
      <c r="C27" s="84"/>
      <c r="D27" s="91"/>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2"/>
      <c r="AJ27" s="84"/>
      <c r="AK27" s="12"/>
      <c r="AL27" s="12"/>
      <c r="AM27" s="12"/>
      <c r="AN27" s="12"/>
      <c r="AO27" s="12"/>
      <c r="AP27" s="12"/>
    </row>
    <row r="28" spans="2:42" s="64" customFormat="1" ht="17.149999999999999" customHeight="1">
      <c r="B28" s="318" t="s">
        <v>5</v>
      </c>
      <c r="C28" s="319"/>
      <c r="D28" s="93">
        <f>SUM(D4:D24)</f>
        <v>0</v>
      </c>
      <c r="E28" s="93">
        <f t="shared" ref="E28:AG28" si="6">SUM(E4:E24)</f>
        <v>0</v>
      </c>
      <c r="F28" s="93">
        <f t="shared" si="6"/>
        <v>0</v>
      </c>
      <c r="G28" s="93">
        <f t="shared" si="6"/>
        <v>0</v>
      </c>
      <c r="H28" s="93">
        <f t="shared" si="6"/>
        <v>0</v>
      </c>
      <c r="I28" s="93">
        <f t="shared" si="6"/>
        <v>0</v>
      </c>
      <c r="J28" s="93">
        <f t="shared" si="6"/>
        <v>0</v>
      </c>
      <c r="K28" s="93">
        <f t="shared" si="6"/>
        <v>0</v>
      </c>
      <c r="L28" s="93">
        <f t="shared" si="6"/>
        <v>0</v>
      </c>
      <c r="M28" s="93">
        <f t="shared" si="6"/>
        <v>0</v>
      </c>
      <c r="N28" s="93">
        <f t="shared" si="6"/>
        <v>0</v>
      </c>
      <c r="O28" s="93">
        <f t="shared" si="6"/>
        <v>0</v>
      </c>
      <c r="P28" s="93">
        <f t="shared" si="6"/>
        <v>0</v>
      </c>
      <c r="Q28" s="93">
        <f t="shared" si="6"/>
        <v>0</v>
      </c>
      <c r="R28" s="93">
        <f t="shared" si="6"/>
        <v>0</v>
      </c>
      <c r="S28" s="93">
        <f t="shared" si="6"/>
        <v>0</v>
      </c>
      <c r="T28" s="93">
        <f t="shared" si="6"/>
        <v>0</v>
      </c>
      <c r="U28" s="93">
        <f t="shared" si="6"/>
        <v>0</v>
      </c>
      <c r="V28" s="93">
        <f t="shared" si="6"/>
        <v>0</v>
      </c>
      <c r="W28" s="93">
        <f t="shared" si="6"/>
        <v>0</v>
      </c>
      <c r="X28" s="93">
        <f t="shared" si="6"/>
        <v>0</v>
      </c>
      <c r="Y28" s="93">
        <f t="shared" si="6"/>
        <v>0</v>
      </c>
      <c r="Z28" s="93">
        <f t="shared" si="6"/>
        <v>0</v>
      </c>
      <c r="AA28" s="93">
        <f t="shared" si="6"/>
        <v>0</v>
      </c>
      <c r="AB28" s="93">
        <f t="shared" si="6"/>
        <v>0</v>
      </c>
      <c r="AC28" s="93">
        <f t="shared" si="6"/>
        <v>0</v>
      </c>
      <c r="AD28" s="93">
        <f t="shared" si="6"/>
        <v>0</v>
      </c>
      <c r="AE28" s="93">
        <f t="shared" si="6"/>
        <v>0</v>
      </c>
      <c r="AF28" s="93">
        <f t="shared" si="6"/>
        <v>0</v>
      </c>
      <c r="AG28" s="93">
        <f t="shared" si="6"/>
        <v>0</v>
      </c>
      <c r="AH28" s="93"/>
      <c r="AI28" s="94">
        <f>SUM(D28:AG28)</f>
        <v>0</v>
      </c>
      <c r="AJ28" s="82"/>
      <c r="AK28" s="12"/>
      <c r="AL28" s="12"/>
      <c r="AM28" s="12"/>
      <c r="AN28" s="12"/>
      <c r="AO28" s="12"/>
      <c r="AP28" s="12"/>
    </row>
    <row r="29" spans="2:42" ht="17.25" customHeight="1">
      <c r="B29" s="53" t="s">
        <v>56</v>
      </c>
      <c r="C29" s="54"/>
      <c r="D29" s="47"/>
      <c r="E29" s="47"/>
      <c r="F29" s="47"/>
      <c r="G29" s="47"/>
      <c r="H29" s="47"/>
      <c r="I29" s="47"/>
      <c r="J29" s="47"/>
      <c r="K29" s="47"/>
      <c r="L29" s="47"/>
      <c r="M29" s="47"/>
      <c r="N29" s="47"/>
      <c r="O29" s="47"/>
      <c r="P29" s="47"/>
      <c r="Q29" s="47"/>
      <c r="R29" s="47"/>
      <c r="S29" s="47"/>
      <c r="T29" s="47"/>
      <c r="U29" s="47"/>
      <c r="V29" s="55"/>
      <c r="W29" s="55"/>
      <c r="X29" s="55"/>
      <c r="Y29" s="55"/>
      <c r="Z29" s="55"/>
      <c r="AA29" s="55"/>
      <c r="AB29" s="55"/>
      <c r="AC29" s="55"/>
      <c r="AD29" s="55"/>
      <c r="AE29" s="55"/>
      <c r="AF29" s="55"/>
      <c r="AG29" s="55"/>
      <c r="AH29" s="55"/>
      <c r="AI29" s="56"/>
      <c r="AJ29" s="11"/>
      <c r="AL29" s="12"/>
    </row>
    <row r="30" spans="2:42" ht="17.25" customHeight="1">
      <c r="B30" s="101" t="s">
        <v>8</v>
      </c>
      <c r="C30" s="102"/>
      <c r="D30" s="102"/>
      <c r="E30" s="102"/>
      <c r="F30" s="102"/>
      <c r="G30" s="103" t="s">
        <v>9</v>
      </c>
      <c r="H30" s="102"/>
      <c r="I30" s="11"/>
      <c r="J30" s="57"/>
      <c r="K30" s="11"/>
      <c r="L30" s="75"/>
      <c r="M30" s="11"/>
      <c r="N30" s="11"/>
      <c r="O30" s="11"/>
      <c r="P30" s="11"/>
      <c r="Q30" s="331" t="str">
        <f>'Start page'!D30</f>
        <v>• Missing information – Enter Project Acronym/name</v>
      </c>
      <c r="R30" s="331"/>
      <c r="S30" s="331"/>
      <c r="T30" s="331"/>
      <c r="U30" s="331"/>
      <c r="V30" s="331"/>
      <c r="W30" s="331"/>
      <c r="X30" s="331"/>
      <c r="Y30" s="331"/>
      <c r="Z30" s="331"/>
      <c r="AA30" s="331"/>
      <c r="AB30" s="331"/>
      <c r="AC30" s="331"/>
      <c r="AD30" s="331"/>
      <c r="AE30" s="331"/>
      <c r="AF30" s="331"/>
      <c r="AG30" s="331"/>
      <c r="AH30" s="331"/>
      <c r="AI30" s="331"/>
      <c r="AJ30" s="58"/>
      <c r="AL30" s="12"/>
    </row>
    <row r="31" spans="2:42" ht="15.5">
      <c r="B31" s="104" t="s">
        <v>56</v>
      </c>
      <c r="C31" s="95"/>
      <c r="D31" s="95"/>
      <c r="E31" s="95"/>
      <c r="F31" s="102"/>
      <c r="G31" s="95"/>
      <c r="H31" s="95"/>
      <c r="I31" s="11"/>
      <c r="J31" s="47"/>
      <c r="K31" s="47"/>
      <c r="L31" s="76"/>
      <c r="M31" s="47"/>
      <c r="N31" s="47"/>
      <c r="O31" s="47"/>
      <c r="P31" s="47"/>
      <c r="Q31" s="331"/>
      <c r="R31" s="331"/>
      <c r="S31" s="331"/>
      <c r="T31" s="331"/>
      <c r="U31" s="331"/>
      <c r="V31" s="331"/>
      <c r="W31" s="331"/>
      <c r="X31" s="331"/>
      <c r="Y31" s="331"/>
      <c r="Z31" s="331"/>
      <c r="AA31" s="331"/>
      <c r="AB31" s="331"/>
      <c r="AC31" s="331"/>
      <c r="AD31" s="331"/>
      <c r="AE31" s="331"/>
      <c r="AF31" s="331"/>
      <c r="AG31" s="331"/>
      <c r="AH31" s="331"/>
      <c r="AI31" s="331"/>
      <c r="AJ31" s="325" t="s">
        <v>230</v>
      </c>
      <c r="AK31" s="326"/>
    </row>
    <row r="32" spans="2:42" ht="15.5">
      <c r="B32" s="105" t="s">
        <v>56</v>
      </c>
      <c r="C32" s="106"/>
      <c r="D32" s="106"/>
      <c r="E32" s="95"/>
      <c r="F32" s="102"/>
      <c r="G32" s="106"/>
      <c r="H32" s="107"/>
      <c r="I32" s="61"/>
      <c r="J32" s="61"/>
      <c r="K32" s="61"/>
      <c r="L32" s="61"/>
      <c r="M32" s="61"/>
      <c r="N32" s="61"/>
      <c r="O32" s="47"/>
      <c r="P32" s="47"/>
      <c r="Q32" s="65"/>
      <c r="R32" s="65"/>
      <c r="S32" s="47"/>
      <c r="T32" s="47"/>
      <c r="U32" s="47"/>
      <c r="V32" s="47"/>
      <c r="W32" s="47"/>
      <c r="X32" s="316"/>
      <c r="Y32" s="316"/>
      <c r="Z32" s="316"/>
      <c r="AA32" s="316"/>
      <c r="AB32" s="317"/>
      <c r="AC32" s="317"/>
      <c r="AD32" s="58"/>
      <c r="AE32" s="316"/>
      <c r="AF32" s="316"/>
      <c r="AG32" s="316"/>
      <c r="AH32" s="316"/>
      <c r="AI32" s="77"/>
      <c r="AJ32" s="195">
        <v>1</v>
      </c>
      <c r="AK32" s="196" t="s">
        <v>234</v>
      </c>
    </row>
    <row r="33" spans="2:37" ht="15.5">
      <c r="B33" s="108">
        <f>Member</f>
        <v>0</v>
      </c>
      <c r="C33" s="95"/>
      <c r="D33" s="95"/>
      <c r="E33" s="95"/>
      <c r="F33" s="102"/>
      <c r="G33" s="95">
        <f>Supervisor</f>
        <v>0</v>
      </c>
      <c r="H33" s="102"/>
      <c r="I33" s="11"/>
      <c r="J33" s="47"/>
      <c r="K33" s="47"/>
      <c r="L33" s="47"/>
      <c r="M33" s="47"/>
      <c r="N33" s="47"/>
      <c r="O33" s="47"/>
      <c r="P33" s="47"/>
      <c r="Q33" s="331" t="str">
        <f>'Start page'!D6</f>
        <v>• Missing information – Fill in all names and title/function on the Start Page</v>
      </c>
      <c r="R33" s="331"/>
      <c r="S33" s="331"/>
      <c r="T33" s="331"/>
      <c r="U33" s="331"/>
      <c r="V33" s="331"/>
      <c r="W33" s="331"/>
      <c r="X33" s="331"/>
      <c r="Y33" s="331"/>
      <c r="Z33" s="331"/>
      <c r="AA33" s="331"/>
      <c r="AB33" s="331"/>
      <c r="AC33" s="331"/>
      <c r="AD33" s="331"/>
      <c r="AE33" s="331"/>
      <c r="AF33" s="331"/>
      <c r="AG33" s="331"/>
      <c r="AH33" s="331"/>
      <c r="AI33" s="331"/>
      <c r="AJ33" s="197">
        <v>2</v>
      </c>
      <c r="AK33" s="198" t="s">
        <v>231</v>
      </c>
    </row>
    <row r="34" spans="2:37" ht="18.75" customHeight="1">
      <c r="B34" s="109">
        <f>Title.member</f>
        <v>0</v>
      </c>
      <c r="C34" s="102"/>
      <c r="D34" s="95"/>
      <c r="E34" s="102"/>
      <c r="F34" s="102"/>
      <c r="G34" s="102">
        <f>Title.supervisor</f>
        <v>0</v>
      </c>
      <c r="H34" s="95"/>
      <c r="I34" s="11"/>
      <c r="J34" s="60"/>
      <c r="K34" s="11"/>
      <c r="L34" s="11"/>
      <c r="M34" s="11"/>
      <c r="N34" s="11"/>
      <c r="O34" s="47"/>
      <c r="P34" s="47"/>
      <c r="Q34" s="65"/>
      <c r="R34" s="65"/>
      <c r="S34" s="47"/>
      <c r="T34" s="47"/>
      <c r="U34" s="47"/>
      <c r="V34" s="47"/>
      <c r="W34" s="47"/>
      <c r="X34" s="179"/>
      <c r="Y34" s="179"/>
      <c r="Z34" s="179"/>
      <c r="AA34" s="179"/>
      <c r="AB34" s="180"/>
      <c r="AC34" s="180"/>
      <c r="AD34" s="58"/>
      <c r="AE34" s="181"/>
      <c r="AF34" s="181"/>
      <c r="AG34" s="181"/>
      <c r="AH34" s="181"/>
      <c r="AI34" s="59"/>
      <c r="AJ34" s="62"/>
    </row>
    <row r="35" spans="2:37" ht="18.75" customHeight="1">
      <c r="B35" s="109" t="s">
        <v>72</v>
      </c>
      <c r="C35" s="102"/>
      <c r="D35" s="95"/>
      <c r="E35" s="102"/>
      <c r="F35" s="102"/>
      <c r="G35" s="102" t="s">
        <v>73</v>
      </c>
      <c r="H35" s="95"/>
      <c r="I35" s="11"/>
      <c r="J35" s="60"/>
      <c r="K35" s="11"/>
      <c r="L35" s="11"/>
      <c r="M35" s="11"/>
      <c r="N35" s="11"/>
      <c r="O35" s="47"/>
      <c r="P35" s="47"/>
      <c r="Q35" s="65"/>
      <c r="R35" s="65"/>
      <c r="S35" s="47"/>
      <c r="T35" s="47"/>
      <c r="U35" s="47"/>
      <c r="V35" s="47"/>
      <c r="W35" s="47"/>
      <c r="X35" s="316"/>
      <c r="Y35" s="316"/>
      <c r="Z35" s="316"/>
      <c r="AA35" s="316"/>
      <c r="AB35" s="317"/>
      <c r="AC35" s="317"/>
      <c r="AD35" s="58"/>
      <c r="AE35" s="320"/>
      <c r="AF35" s="320"/>
      <c r="AG35" s="320"/>
      <c r="AH35" s="320"/>
      <c r="AI35" s="59"/>
      <c r="AJ35" s="62"/>
    </row>
    <row r="36" spans="2:37" ht="12" customHeight="1">
      <c r="B36" s="109"/>
      <c r="C36" s="102"/>
      <c r="D36" s="95"/>
      <c r="E36" s="102"/>
      <c r="F36" s="102"/>
      <c r="G36" s="102"/>
      <c r="H36" s="95"/>
      <c r="I36" s="11"/>
      <c r="J36" s="60"/>
      <c r="K36" s="11"/>
      <c r="L36" s="11"/>
      <c r="M36" s="11"/>
      <c r="N36" s="11"/>
      <c r="O36" s="47"/>
      <c r="P36" s="47"/>
      <c r="Q36" s="65"/>
      <c r="R36" s="65"/>
      <c r="S36" s="47"/>
      <c r="T36" s="47"/>
      <c r="U36" s="47"/>
      <c r="V36" s="47"/>
      <c r="W36" s="47"/>
      <c r="X36" s="77"/>
      <c r="Y36" s="77"/>
      <c r="Z36" s="77"/>
      <c r="AA36" s="77"/>
      <c r="AB36" s="78"/>
      <c r="AC36" s="78"/>
      <c r="AD36" s="58"/>
      <c r="AE36" s="79"/>
      <c r="AF36" s="79"/>
      <c r="AG36" s="79"/>
      <c r="AH36" s="79"/>
      <c r="AI36" s="59"/>
      <c r="AJ36" s="62"/>
    </row>
    <row r="37" spans="2:37" ht="23.25" customHeight="1">
      <c r="B37" s="105" t="s">
        <v>56</v>
      </c>
      <c r="C37" s="95"/>
      <c r="D37" s="106"/>
      <c r="E37" s="102"/>
      <c r="F37" s="102"/>
      <c r="G37" s="106"/>
      <c r="H37" s="110" t="s">
        <v>56</v>
      </c>
      <c r="I37" s="61"/>
      <c r="J37" s="61"/>
      <c r="K37" s="61"/>
      <c r="L37" s="61"/>
      <c r="M37" s="61"/>
      <c r="N37" s="61"/>
      <c r="O37" s="47"/>
      <c r="P37" s="47"/>
      <c r="Q37" s="331" t="str">
        <f>'Start page'!D29</f>
        <v/>
      </c>
      <c r="R37" s="331"/>
      <c r="S37" s="331"/>
      <c r="T37" s="331"/>
      <c r="U37" s="331"/>
      <c r="V37" s="331"/>
      <c r="W37" s="331"/>
      <c r="X37" s="331"/>
      <c r="Y37" s="331"/>
      <c r="Z37" s="331"/>
      <c r="AA37" s="331"/>
      <c r="AB37" s="331"/>
      <c r="AC37" s="331"/>
      <c r="AD37" s="331"/>
      <c r="AE37" s="331"/>
      <c r="AF37" s="331"/>
      <c r="AG37" s="331"/>
      <c r="AH37" s="331"/>
      <c r="AI37" s="331"/>
      <c r="AJ37" s="47"/>
    </row>
    <row r="38" spans="2:37" ht="19.5" customHeight="1">
      <c r="B38" s="108" t="s">
        <v>1</v>
      </c>
      <c r="C38" s="108"/>
      <c r="D38" s="95"/>
      <c r="E38" s="102"/>
      <c r="F38" s="102"/>
      <c r="G38" s="95" t="s">
        <v>1</v>
      </c>
      <c r="H38" s="102"/>
      <c r="I38" s="47"/>
      <c r="J38" s="47"/>
      <c r="K38" s="47"/>
      <c r="L38" s="47"/>
      <c r="M38" s="47"/>
      <c r="N38" s="47"/>
      <c r="O38" s="47"/>
      <c r="P38" s="47"/>
      <c r="Q38" s="47"/>
      <c r="R38" s="65"/>
      <c r="S38" s="47"/>
      <c r="T38" s="47"/>
      <c r="U38" s="47"/>
      <c r="V38" s="47"/>
      <c r="W38" s="77"/>
      <c r="X38" s="77"/>
      <c r="Y38" s="77"/>
      <c r="Z38" s="77"/>
      <c r="AA38" s="79"/>
      <c r="AB38" s="79"/>
      <c r="AC38" s="77"/>
      <c r="AD38" s="77"/>
      <c r="AE38" s="77"/>
      <c r="AF38" s="77"/>
      <c r="AG38" s="77"/>
      <c r="AH38" s="77"/>
      <c r="AI38" s="47"/>
      <c r="AJ38" s="11"/>
    </row>
    <row r="39" spans="2:37" ht="14.5">
      <c r="B39" s="37" t="s">
        <v>56</v>
      </c>
      <c r="C39" s="37">
        <f>ROW()</f>
        <v>39</v>
      </c>
      <c r="D39" s="64"/>
      <c r="E39" s="64"/>
      <c r="F39" s="64"/>
      <c r="G39" s="64"/>
      <c r="H39" s="64"/>
      <c r="I39" s="64"/>
      <c r="J39" s="64"/>
      <c r="K39" s="64"/>
      <c r="L39" s="64"/>
      <c r="M39" s="64"/>
      <c r="N39" s="64"/>
      <c r="O39" s="64"/>
      <c r="P39" s="65"/>
      <c r="Q39" s="65"/>
      <c r="R39" s="65"/>
      <c r="S39" s="65"/>
      <c r="T39" s="65"/>
      <c r="U39" s="65"/>
      <c r="V39" s="65"/>
      <c r="W39" s="65"/>
      <c r="X39" s="65"/>
      <c r="Y39" s="65"/>
      <c r="Z39" s="65"/>
      <c r="AA39" s="65"/>
      <c r="AB39" s="65"/>
      <c r="AC39" s="314"/>
      <c r="AD39" s="322"/>
      <c r="AE39" s="322"/>
      <c r="AF39" s="322"/>
      <c r="AG39" s="322"/>
      <c r="AH39" s="322"/>
      <c r="AI39" s="65"/>
    </row>
    <row r="40" spans="2:37" ht="14.5">
      <c r="P40" s="34"/>
      <c r="Q40" s="34"/>
      <c r="R40" s="34"/>
      <c r="S40" s="34"/>
      <c r="T40" s="34"/>
      <c r="U40" s="34"/>
      <c r="V40" s="34"/>
      <c r="W40" s="34"/>
      <c r="X40" s="34"/>
      <c r="Y40" s="34"/>
      <c r="Z40" s="34"/>
      <c r="AA40" s="34"/>
      <c r="AB40" s="34"/>
      <c r="AC40" s="323"/>
      <c r="AD40" s="324"/>
      <c r="AE40" s="324"/>
      <c r="AF40" s="324"/>
      <c r="AG40" s="324"/>
      <c r="AH40" s="324"/>
      <c r="AI40" s="34"/>
    </row>
    <row r="41" spans="2:37" ht="14.5">
      <c r="B41" s="306" t="s">
        <v>235</v>
      </c>
      <c r="C41" s="307"/>
      <c r="D41" s="307"/>
      <c r="E41" s="307"/>
      <c r="F41" s="307"/>
      <c r="G41" s="333"/>
      <c r="H41" s="333"/>
      <c r="I41" s="334"/>
      <c r="J41" s="334"/>
      <c r="K41" s="334"/>
      <c r="L41" s="334"/>
      <c r="M41" s="334"/>
      <c r="N41" s="334"/>
      <c r="O41" s="335"/>
      <c r="P41" s="34"/>
      <c r="Q41" s="34"/>
      <c r="R41" s="34"/>
      <c r="S41" s="34"/>
      <c r="T41" s="34"/>
      <c r="U41" s="34"/>
      <c r="V41" s="34"/>
      <c r="W41" s="34"/>
      <c r="X41" s="34"/>
      <c r="Y41" s="34"/>
      <c r="Z41" s="34"/>
      <c r="AA41" s="34"/>
      <c r="AB41" s="34"/>
      <c r="AC41" s="314"/>
      <c r="AD41" s="315"/>
      <c r="AE41" s="315"/>
      <c r="AF41" s="315"/>
      <c r="AG41" s="315"/>
      <c r="AH41" s="315"/>
      <c r="AI41" s="34"/>
    </row>
    <row r="42" spans="2:37" ht="14.5">
      <c r="B42" s="336"/>
      <c r="C42" s="337"/>
      <c r="D42" s="337"/>
      <c r="E42" s="337"/>
      <c r="F42" s="337"/>
      <c r="G42" s="337"/>
      <c r="H42" s="337"/>
      <c r="I42" s="337"/>
      <c r="J42" s="337"/>
      <c r="K42" s="337"/>
      <c r="L42" s="337"/>
      <c r="M42" s="337"/>
      <c r="N42" s="337"/>
      <c r="O42" s="338"/>
      <c r="P42" s="34"/>
      <c r="Q42" s="34"/>
      <c r="R42" s="34"/>
      <c r="S42" s="34"/>
      <c r="T42" s="34"/>
      <c r="U42" s="34"/>
      <c r="V42" s="34"/>
      <c r="W42" s="34"/>
      <c r="X42" s="34"/>
      <c r="Y42" s="34"/>
      <c r="Z42" s="34"/>
      <c r="AA42" s="34"/>
      <c r="AB42" s="34"/>
      <c r="AC42" s="314"/>
      <c r="AD42" s="315"/>
      <c r="AE42" s="315"/>
      <c r="AF42" s="315"/>
      <c r="AG42" s="315"/>
      <c r="AH42" s="315"/>
      <c r="AI42" s="34"/>
    </row>
    <row r="43" spans="2:37" ht="14.5">
      <c r="P43" s="34"/>
      <c r="Q43" s="34"/>
      <c r="R43" s="34"/>
      <c r="S43" s="34"/>
      <c r="T43" s="34"/>
      <c r="U43" s="34"/>
      <c r="V43" s="34"/>
      <c r="W43" s="34"/>
      <c r="X43" s="34"/>
      <c r="Y43" s="34"/>
      <c r="Z43" s="34"/>
      <c r="AA43" s="34"/>
      <c r="AB43" s="34"/>
      <c r="AC43" s="34"/>
      <c r="AD43" s="34"/>
      <c r="AE43" s="34"/>
      <c r="AF43" s="34"/>
      <c r="AG43" s="34"/>
      <c r="AH43" s="34"/>
      <c r="AI43" s="34"/>
    </row>
    <row r="44" spans="2:37" ht="14.5">
      <c r="P44" s="34"/>
      <c r="Q44" s="34"/>
      <c r="R44" s="34"/>
      <c r="S44" s="34"/>
      <c r="T44" s="34"/>
      <c r="U44" s="34"/>
      <c r="V44" s="34"/>
      <c r="W44" s="34"/>
      <c r="X44" s="34"/>
      <c r="Y44" s="34"/>
      <c r="Z44" s="34"/>
      <c r="AA44" s="34"/>
      <c r="AB44" s="34"/>
      <c r="AC44" s="34"/>
      <c r="AD44" s="34"/>
      <c r="AE44" s="34"/>
      <c r="AF44" s="34"/>
      <c r="AG44" s="34"/>
      <c r="AH44" s="34"/>
      <c r="AI44" s="34"/>
    </row>
    <row r="45" spans="2:37" ht="14.5"/>
    <row r="46" spans="2:37" ht="14.5"/>
    <row r="47" spans="2:37" ht="14.5"/>
    <row r="48" spans="2:37" ht="14.5"/>
    <row r="49" ht="14.5"/>
    <row r="50" ht="14.5"/>
    <row r="51" ht="14.5"/>
    <row r="52" ht="14.5"/>
    <row r="53" ht="14.5"/>
    <row r="54" ht="14.5"/>
    <row r="55" ht="14.5"/>
    <row r="56" ht="14.5"/>
    <row r="57" ht="14.5"/>
    <row r="58" ht="14.5"/>
    <row r="59" ht="14.5"/>
    <row r="60" ht="14.5"/>
    <row r="61" ht="14.5"/>
    <row r="62" ht="14.5"/>
    <row r="63" ht="14.5"/>
    <row r="64" ht="14.5"/>
    <row r="65" ht="14.5"/>
    <row r="66" ht="14.5"/>
    <row r="67" ht="14.5"/>
    <row r="68" ht="14.5"/>
    <row r="69" ht="14.5"/>
    <row r="70" ht="14.5"/>
    <row r="71" ht="14.5"/>
    <row r="72" ht="14.5"/>
    <row r="73" ht="14.5"/>
    <row r="74" ht="14.5"/>
    <row r="75" ht="14.5"/>
    <row r="76" ht="14.5"/>
    <row r="77" ht="14.5"/>
    <row r="78" ht="14.5"/>
    <row r="79" ht="14.5"/>
    <row r="80" ht="14.5"/>
    <row r="81" ht="14.5"/>
    <row r="82" ht="14.5"/>
    <row r="83" ht="14.5"/>
    <row r="84" ht="14.5"/>
    <row r="85" ht="14.5"/>
    <row r="86" ht="14.5"/>
    <row r="87" ht="14.5"/>
    <row r="88" ht="14.5"/>
    <row r="89" ht="14.5"/>
    <row r="90" ht="14.5"/>
    <row r="91" ht="14.5"/>
    <row r="92" ht="14.5"/>
    <row r="93" ht="14.5"/>
    <row r="94" ht="14.5"/>
    <row r="95" ht="14.5"/>
    <row r="96" ht="14.5"/>
    <row r="97" ht="14.5"/>
    <row r="98" ht="14.5"/>
    <row r="99" ht="14.5"/>
    <row r="100" ht="14.5"/>
    <row r="101" ht="14.5"/>
    <row r="102" ht="14.5"/>
    <row r="103" ht="14.5"/>
    <row r="104" ht="14.5"/>
    <row r="105" ht="14.5"/>
    <row r="106" ht="14.5"/>
    <row r="107" ht="14.5"/>
    <row r="108" ht="14.5"/>
    <row r="109" ht="14.5"/>
    <row r="110" ht="14.5"/>
    <row r="111" ht="14.5"/>
    <row r="112" ht="14.5"/>
    <row r="113" ht="14.5"/>
    <row r="114" ht="14.5"/>
    <row r="115" ht="14.5"/>
    <row r="116" ht="14.5"/>
    <row r="117" ht="14.5"/>
    <row r="118" ht="14.5"/>
    <row r="119" ht="14.5"/>
    <row r="120" ht="14.5"/>
    <row r="121" ht="14.5"/>
    <row r="122" ht="14.5"/>
    <row r="123" ht="14.5"/>
    <row r="124" ht="14.5"/>
    <row r="125" ht="14.5"/>
    <row r="126" ht="14.5"/>
    <row r="127" ht="14.5"/>
    <row r="128" ht="14.5"/>
    <row r="129" ht="14.5"/>
    <row r="130" ht="14.5"/>
    <row r="131" ht="14.5"/>
    <row r="132" ht="14.5"/>
    <row r="133" ht="14.5"/>
    <row r="134" ht="14.5"/>
    <row r="135" ht="14.5"/>
    <row r="136" ht="14.5"/>
    <row r="137" ht="14.5"/>
    <row r="138" ht="14.5"/>
    <row r="139" ht="14.5"/>
    <row r="140" ht="14.5"/>
    <row r="141" ht="14.5"/>
    <row r="142" ht="14.5"/>
    <row r="143" ht="14.5"/>
    <row r="144" ht="14.5"/>
    <row r="145" ht="14.5"/>
    <row r="146" ht="14.5"/>
    <row r="147" ht="14.5"/>
    <row r="148" ht="14.5"/>
    <row r="149" ht="14.5"/>
    <row r="150" ht="14.5"/>
    <row r="151" ht="14.5"/>
    <row r="152" ht="14.5"/>
    <row r="153" ht="14.5"/>
    <row r="154" ht="14.5"/>
    <row r="155" ht="14.5"/>
    <row r="156" ht="14.5"/>
    <row r="157" ht="14.5"/>
    <row r="158" ht="14.5"/>
    <row r="159" ht="14.5"/>
    <row r="160" ht="15" customHeight="1"/>
    <row r="161" ht="15" customHeight="1"/>
    <row r="162" ht="15" customHeight="1"/>
    <row r="163" ht="15" customHeight="1"/>
    <row r="164" ht="15" customHeight="1"/>
  </sheetData>
  <sheetProtection algorithmName="SHA-512" hashValue="p1Xgnu87Ht7RAPT70BG/tv3ZCNfj33fS9UHHcP9gndUd0Z1lnO1xSkAOBi8eTOmnaB4XJFdAUbyBFmozpiUrUQ==" saltValue="cUMVRORGyDW15kNeAuq//g==" spinCount="100000" sheet="1" selectLockedCells="1"/>
  <mergeCells count="38">
    <mergeCell ref="B41:O42"/>
    <mergeCell ref="B8:C8"/>
    <mergeCell ref="B4:C4"/>
    <mergeCell ref="B5:C5"/>
    <mergeCell ref="B6:C6"/>
    <mergeCell ref="B7:C7"/>
    <mergeCell ref="B20:C20"/>
    <mergeCell ref="B9:C9"/>
    <mergeCell ref="B10:C10"/>
    <mergeCell ref="B11:C11"/>
    <mergeCell ref="B12:C12"/>
    <mergeCell ref="B13:C13"/>
    <mergeCell ref="B14:C14"/>
    <mergeCell ref="B15:C15"/>
    <mergeCell ref="B16:C16"/>
    <mergeCell ref="B17:C17"/>
    <mergeCell ref="B18:C18"/>
    <mergeCell ref="B19:C19"/>
    <mergeCell ref="B21:C21"/>
    <mergeCell ref="B22:C22"/>
    <mergeCell ref="B23:C23"/>
    <mergeCell ref="Q30:AI30"/>
    <mergeCell ref="X35:AA35"/>
    <mergeCell ref="AB35:AC35"/>
    <mergeCell ref="AE35:AH35"/>
    <mergeCell ref="B26:C26"/>
    <mergeCell ref="B28:C28"/>
    <mergeCell ref="AC40:AH40"/>
    <mergeCell ref="AC41:AH41"/>
    <mergeCell ref="AC42:AH42"/>
    <mergeCell ref="AC39:AH39"/>
    <mergeCell ref="AJ31:AK31"/>
    <mergeCell ref="Q37:AI37"/>
    <mergeCell ref="X32:AA32"/>
    <mergeCell ref="AB32:AC32"/>
    <mergeCell ref="AE32:AH32"/>
    <mergeCell ref="Q33:AI33"/>
    <mergeCell ref="Q31:AI31"/>
  </mergeCells>
  <conditionalFormatting sqref="D4:AH23">
    <cfRule type="expression" dxfId="102" priority="31">
      <formula>D$2</formula>
    </cfRule>
  </conditionalFormatting>
  <conditionalFormatting sqref="J4:J23">
    <cfRule type="expression" dxfId="101" priority="32">
      <formula>J$2</formula>
    </cfRule>
  </conditionalFormatting>
  <conditionalFormatting sqref="D3:AH3">
    <cfRule type="expression" dxfId="100" priority="30">
      <formula>MATCH(D3,INDIRECT("Fixed_weekdays[DateInYear]"),0)&gt;0</formula>
    </cfRule>
  </conditionalFormatting>
  <conditionalFormatting sqref="D3:AH3">
    <cfRule type="expression" dxfId="99" priority="29">
      <formula>MATCH(D3,INDIRECT("Fixed_dates[DateInYear]"),0)&gt;0</formula>
    </cfRule>
  </conditionalFormatting>
  <conditionalFormatting sqref="D3:AH3">
    <cfRule type="expression" dxfId="98" priority="28">
      <formula>AND(INDEX(INDIRECT("Shortened[WorkHours]"),MATCH(D3,INDIRECT("Shortened[DateInYear]"),0),0)&gt;0,INDEX(INDIRECT("Shortened[WorkHours]"),MATCH(D3,INDIRECT("Shortened[DateInYear]"),0),0)&lt;8)</formula>
    </cfRule>
  </conditionalFormatting>
  <conditionalFormatting sqref="D3:AH3">
    <cfRule type="expression" dxfId="97" priority="27">
      <formula>AND(INDEX(INDIRECT("Clamp[WorkHours]"),MATCH(C3,INDIRECT("Clamp[DateInYear]"),0),0)&gt;0,INDEX(INDIRECT("Clamp[WorkHours]"),MATCH(C3,INDIRECT("Clamp[DateInYear]"),0),0)&lt;8)</formula>
    </cfRule>
  </conditionalFormatting>
  <conditionalFormatting sqref="D3:AH3">
    <cfRule type="expression" dxfId="96" priority="25">
      <formula>INDEX(INDIRECT("Shortened[WorkHours]"),MATCH(D3,INDIRECT("Shortened[DateInYear]"),0),0)&gt;7</formula>
    </cfRule>
    <cfRule type="expression" dxfId="95" priority="26">
      <formula>INDEX(INDIRECT("Clamp[WorkHours]"),MATCH(D3,INDIRECT("Clamp[DateInYear]"),0),0)&gt;7</formula>
    </cfRule>
  </conditionalFormatting>
  <conditionalFormatting sqref="D3:AH3">
    <cfRule type="expression" dxfId="94" priority="24">
      <formula>OR(WEEKDAY(D3,2)=6,WEEKDAY(D3,2)=7)</formula>
    </cfRule>
  </conditionalFormatting>
  <conditionalFormatting sqref="J18:J22">
    <cfRule type="expression" dxfId="93" priority="23">
      <formula>J$2</formula>
    </cfRule>
  </conditionalFormatting>
  <conditionalFormatting sqref="B4:C22">
    <cfRule type="containsText" dxfId="92" priority="15" operator="containsText" text="Other US">
      <formula>NOT(ISERROR(SEARCH("Other US",B4)))</formula>
    </cfRule>
    <cfRule type="containsText" dxfId="91" priority="16" operator="containsText" text="US Army">
      <formula>NOT(ISERROR(SEARCH("US Army",B4)))</formula>
    </cfRule>
    <cfRule type="containsText" dxfId="90" priority="18" operator="containsText" text="NIH">
      <formula>NOT(ISERROR(SEARCH("NIH",B4)))</formula>
    </cfRule>
    <cfRule type="containsText" dxfId="89" priority="19" operator="containsText" text="FP7">
      <formula>NOT(ISERROR(SEARCH("FP7",B4)))</formula>
    </cfRule>
    <cfRule type="containsText" dxfId="88" priority="20" operator="containsText" text="H2020">
      <formula>NOT(ISERROR(SEARCH("H2020",B4)))</formula>
    </cfRule>
    <cfRule type="containsText" dxfId="87" priority="21" operator="containsText" text="Sida">
      <formula>NOT(ISERROR(SEARCH("Sida",B4)))</formula>
    </cfRule>
    <cfRule type="containsText" dxfId="86" priority="22" operator="containsText" text="Other">
      <formula>NOT(ISERROR(SEARCH("Other",B4)))</formula>
    </cfRule>
  </conditionalFormatting>
  <conditionalFormatting sqref="AK26">
    <cfRule type="expression" dxfId="85" priority="13">
      <formula>AK$2</formula>
    </cfRule>
  </conditionalFormatting>
  <conditionalFormatting sqref="D25:AG25">
    <cfRule type="iconSet" priority="10">
      <iconSet iconSet="3Flags">
        <cfvo type="percent" val="0"/>
        <cfvo type="percent" val="33"/>
        <cfvo type="percent" val="67"/>
      </iconSet>
    </cfRule>
  </conditionalFormatting>
  <conditionalFormatting sqref="D25:AG25">
    <cfRule type="iconSet" priority="9">
      <iconSet iconSet="3Flags">
        <cfvo type="percent" val="0"/>
        <cfvo type="percent" val="33"/>
        <cfvo type="percent" val="67"/>
      </iconSet>
    </cfRule>
  </conditionalFormatting>
  <conditionalFormatting sqref="AJ31">
    <cfRule type="expression" dxfId="84" priority="5">
      <formula>AK$2</formula>
    </cfRule>
  </conditionalFormatting>
  <conditionalFormatting sqref="D26:AH26">
    <cfRule type="cellIs" dxfId="83" priority="1" operator="greaterThan">
      <formula>24</formula>
    </cfRule>
    <cfRule type="cellIs" dxfId="82" priority="2" operator="greaterThan">
      <formula>14</formula>
    </cfRule>
  </conditionalFormatting>
  <dataValidations count="1">
    <dataValidation type="decimal" allowBlank="1" showInputMessage="1" showErrorMessage="1" errorTitle="ERROR !" error="You may report min 0,5 and max 24 hrs per WP or Project_x000a__x000a_" sqref="D4:AG23" xr:uid="{00000000-0002-0000-0C00-000000000000}">
      <formula1>0.5</formula1>
      <formula2>24</formula2>
    </dataValidation>
  </dataValidations>
  <printOptions horizontalCentered="1" verticalCentered="1"/>
  <pageMargins left="0.7" right="0.7" top="1.2072916666666667" bottom="0.75" header="0.45652173913043476" footer="0.3"/>
  <pageSetup paperSize="9" scale="51" orientation="landscape" r:id="rId1"/>
  <headerFooter>
    <oddHeader>&amp;L&amp;G&amp;C&amp;24TIMESHEET</oddHeader>
  </headerFooter>
  <legacyDrawingHF r:id="rId2"/>
  <extLst>
    <ext xmlns:x14="http://schemas.microsoft.com/office/spreadsheetml/2009/9/main" uri="{78C0D931-6437-407d-A8EE-F0AAD7539E65}">
      <x14:conditionalFormattings>
        <x14:conditionalFormatting xmlns:xm="http://schemas.microsoft.com/office/excel/2006/main">
          <x14:cfRule type="containsText" priority="17" operator="containsText" id="{7B9F235A-D52E-4AC2-BE4C-F201F1516A02}">
            <xm:f>NOT(ISERROR(SEARCH("Non-project",B4)))</xm:f>
            <xm:f>"Non-project"</xm:f>
            <x14:dxf>
              <fill>
                <patternFill>
                  <bgColor theme="6" tint="0.59996337778862885"/>
                </patternFill>
              </fill>
            </x14:dxf>
          </x14:cfRule>
          <xm:sqref>B4:C22</xm:sqref>
        </x14:conditionalFormatting>
        <x14:conditionalFormatting xmlns:xm="http://schemas.microsoft.com/office/excel/2006/main">
          <x14:cfRule type="iconSet" priority="12" id="{ED316D5C-D9FD-4EA6-AF15-CB25EC91FC4E}">
            <x14:iconSet iconSet="3Flags" showValue="0" custom="1">
              <x14:cfvo type="percent">
                <xm:f>0</xm:f>
              </x14:cfvo>
              <x14:cfvo type="num">
                <xm:f>0</xm:f>
              </x14:cfvo>
              <x14:cfvo type="num" gte="0">
                <xm:f>0</xm:f>
              </x14:cfvo>
              <x14:cfIcon iconSet="NoIcons" iconId="0"/>
              <x14:cfIcon iconSet="NoIcons" iconId="0"/>
              <x14:cfIcon iconSet="3Flags" iconId="1"/>
            </x14:iconSet>
          </x14:cfRule>
          <xm:sqref>AL26</xm:sqref>
        </x14:conditionalFormatting>
        <x14:conditionalFormatting xmlns:xm="http://schemas.microsoft.com/office/excel/2006/main">
          <x14:cfRule type="iconSet" priority="11" id="{0D12B6C6-C32E-42BF-A235-3CCAC251310B}">
            <x14:iconSet iconSet="3Flags" showValue="0" custom="1">
              <x14:cfvo type="percent">
                <xm:f>0</xm:f>
              </x14:cfvo>
              <x14:cfvo type="num">
                <xm:f>0</xm:f>
              </x14:cfvo>
              <x14:cfvo type="num" gte="0">
                <xm:f>0</xm:f>
              </x14:cfvo>
              <x14:cfIcon iconSet="NoIcons" iconId="0"/>
              <x14:cfIcon iconSet="NoIcons" iconId="0"/>
              <x14:cfIcon iconSet="3Flags" iconId="0"/>
            </x14:iconSet>
          </x14:cfRule>
          <xm:sqref>AL27</xm:sqref>
        </x14:conditionalFormatting>
        <x14:conditionalFormatting xmlns:xm="http://schemas.microsoft.com/office/excel/2006/main">
          <x14:cfRule type="iconSet" priority="8" id="{E9B0161E-4035-40CC-A302-6BEEBBF5FE3B}">
            <x14:iconSet iconSet="3Flags" showValue="0" custom="1">
              <x14:cfvo type="percent">
                <xm:f>0</xm:f>
              </x14:cfvo>
              <x14:cfvo type="num" gte="0">
                <xm:f>14</xm:f>
              </x14:cfvo>
              <x14:cfvo type="num" gte="0">
                <xm:f>24</xm:f>
              </x14:cfvo>
              <x14:cfIcon iconSet="NoIcons" iconId="0"/>
              <x14:cfIcon iconSet="3Flags" iconId="1"/>
              <x14:cfIcon iconSet="3Flags" iconId="0"/>
            </x14:iconSet>
          </x14:cfRule>
          <xm:sqref>D25:AG25</xm:sqref>
        </x14:conditionalFormatting>
        <x14:conditionalFormatting xmlns:xm="http://schemas.microsoft.com/office/excel/2006/main">
          <x14:cfRule type="iconSet" priority="4" id="{CEE906B2-3F10-42DA-9B0B-16B420472EBE}">
            <x14:iconSet iconSet="3Flags" showValue="0" custom="1">
              <x14:cfvo type="percent">
                <xm:f>0</xm:f>
              </x14:cfvo>
              <x14:cfvo type="num">
                <xm:f>0</xm:f>
              </x14:cfvo>
              <x14:cfvo type="num" gte="0">
                <xm:f>0</xm:f>
              </x14:cfvo>
              <x14:cfIcon iconSet="NoIcons" iconId="0"/>
              <x14:cfIcon iconSet="NoIcons" iconId="0"/>
              <x14:cfIcon iconSet="3Flags" iconId="1"/>
            </x14:iconSet>
          </x14:cfRule>
          <xm:sqref>AJ32</xm:sqref>
        </x14:conditionalFormatting>
        <x14:conditionalFormatting xmlns:xm="http://schemas.microsoft.com/office/excel/2006/main">
          <x14:cfRule type="iconSet" priority="3" id="{DCDD44AC-F9FB-4179-B142-BDFDC2E57587}">
            <x14:iconSet iconSet="3Flags" showValue="0" custom="1">
              <x14:cfvo type="percent">
                <xm:f>0</xm:f>
              </x14:cfvo>
              <x14:cfvo type="num">
                <xm:f>0</xm:f>
              </x14:cfvo>
              <x14:cfvo type="num" gte="0">
                <xm:f>0</xm:f>
              </x14:cfvo>
              <x14:cfIcon iconSet="NoIcons" iconId="0"/>
              <x14:cfIcon iconSet="NoIcons" iconId="0"/>
              <x14:cfIcon iconSet="3Flags" iconId="0"/>
            </x14:iconSet>
          </x14:cfRule>
          <xm:sqref>AJ33</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11">
    <tabColor theme="5" tint="-0.249977111117893"/>
    <pageSetUpPr fitToPage="1"/>
  </sheetPr>
  <dimension ref="B1:AQ164"/>
  <sheetViews>
    <sheetView showGridLines="0" showZeros="0" zoomScale="40" zoomScaleNormal="40" zoomScaleSheetLayoutView="55" zoomScalePageLayoutView="110" workbookViewId="0">
      <selection activeCell="D4" sqref="D4"/>
    </sheetView>
  </sheetViews>
  <sheetFormatPr defaultColWidth="0" defaultRowHeight="15" customHeight="1" zeroHeight="1"/>
  <cols>
    <col min="1" max="1" width="1.54296875" style="12" customWidth="1"/>
    <col min="2" max="3" width="25.7265625" style="12" customWidth="1"/>
    <col min="4" max="34" width="5.26953125" style="12" customWidth="1"/>
    <col min="35" max="35" width="8.26953125" style="12" customWidth="1"/>
    <col min="36" max="36" width="8.1796875" style="12" bestFit="1" customWidth="1"/>
    <col min="37" max="37" width="29.453125" style="12" customWidth="1"/>
    <col min="38" max="38" width="5.453125" style="118" customWidth="1"/>
    <col min="39" max="16383" width="9.1796875" style="12" customWidth="1"/>
    <col min="16384" max="16384" width="2.1796875" style="12" customWidth="1"/>
  </cols>
  <sheetData>
    <row r="1" spans="2:38" ht="21">
      <c r="B1" s="96" t="s">
        <v>83</v>
      </c>
      <c r="C1" s="96">
        <f>Year</f>
        <v>2021</v>
      </c>
      <c r="D1" s="97"/>
      <c r="E1" s="97"/>
      <c r="F1" s="97"/>
      <c r="G1" s="97"/>
      <c r="H1" s="97"/>
      <c r="I1" s="97"/>
      <c r="J1" s="97"/>
      <c r="K1" s="97"/>
      <c r="L1" s="97"/>
      <c r="M1" s="97"/>
      <c r="N1" s="114"/>
      <c r="O1" s="97"/>
      <c r="P1" s="98" t="s">
        <v>6</v>
      </c>
      <c r="Q1" s="99">
        <f>Member</f>
        <v>0</v>
      </c>
      <c r="R1" s="97"/>
      <c r="S1" s="48"/>
      <c r="T1" s="48"/>
      <c r="U1" s="48"/>
      <c r="V1" s="48"/>
      <c r="W1" s="48"/>
      <c r="X1" s="48"/>
      <c r="Y1" s="48"/>
      <c r="Z1" s="48"/>
      <c r="AA1" s="48"/>
      <c r="AB1" s="48"/>
      <c r="AC1" s="115"/>
      <c r="AD1" s="48"/>
      <c r="AE1" s="34"/>
      <c r="AF1" s="48"/>
      <c r="AG1" s="48"/>
      <c r="AH1" s="48"/>
      <c r="AI1" s="34"/>
      <c r="AJ1" s="34"/>
    </row>
    <row r="2" spans="2:38" ht="12.75" customHeight="1">
      <c r="B2" s="36"/>
      <c r="C2" s="50">
        <f>C39</f>
        <v>39</v>
      </c>
      <c r="D2" s="50" t="b">
        <f ca="1">OR(OR(WEEKDAY(D3,2)=6,WEEKDAY(D3,2)=7),IFERROR(INDEX(INDIRECT("Shortened[WorkHours]"),MATCH(D3,INDIRECT("Shortened[DateInYear]"),0),0),0)&gt;7,IFERROR(INDEX(INDIRECT("Clamp[WorkHours]"),MATCH(D3,INDIRECT("Clamp[DateInYear]"),0),0),0)&gt;7,IFERROR(MATCH(D3,INDIRECT("Fixed_dates[DateInYear]"),0),0)&gt;0,IFERROR(MATCH(D3,INDIRECT("Fixed_weekdays[DateInYear]"),0),0)&gt;0)</f>
        <v>0</v>
      </c>
      <c r="E2" s="50" t="b">
        <f t="shared" ref="E2:AH2" ca="1" si="0">OR(OR(WEEKDAY(E3,2)=6,WEEKDAY(E3,2)=7),IFERROR(INDEX(INDIRECT("Shortened[WorkHours]"),MATCH(E3,INDIRECT("Shortened[DateInYear]"),0),0),0)&gt;7,IFERROR(INDEX(INDIRECT("Clamp[WorkHours]"),MATCH(E3,INDIRECT("Clamp[DateInYear]"),0),0),0)&gt;7,IFERROR(MATCH(E3,INDIRECT("Fixed_dates[DateInYear]"),0),0)&gt;0,IFERROR(MATCH(E3,INDIRECT("Fixed_weekdays[DateInYear]"),0),0)&gt;0)</f>
        <v>1</v>
      </c>
      <c r="F2" s="50" t="b">
        <f t="shared" ca="1" si="0"/>
        <v>1</v>
      </c>
      <c r="G2" s="50" t="b">
        <f t="shared" ca="1" si="0"/>
        <v>0</v>
      </c>
      <c r="H2" s="50" t="b">
        <f t="shared" ca="1" si="0"/>
        <v>0</v>
      </c>
      <c r="I2" s="50" t="b">
        <f t="shared" ca="1" si="0"/>
        <v>0</v>
      </c>
      <c r="J2" s="50" t="b">
        <f t="shared" ca="1" si="0"/>
        <v>0</v>
      </c>
      <c r="K2" s="50" t="b">
        <f t="shared" ca="1" si="0"/>
        <v>0</v>
      </c>
      <c r="L2" s="50" t="b">
        <f t="shared" ca="1" si="0"/>
        <v>1</v>
      </c>
      <c r="M2" s="50" t="b">
        <f t="shared" ca="1" si="0"/>
        <v>1</v>
      </c>
      <c r="N2" s="50" t="b">
        <f t="shared" ca="1" si="0"/>
        <v>0</v>
      </c>
      <c r="O2" s="50" t="b">
        <f t="shared" ca="1" si="0"/>
        <v>0</v>
      </c>
      <c r="P2" s="50" t="b">
        <f t="shared" ca="1" si="0"/>
        <v>0</v>
      </c>
      <c r="Q2" s="50" t="b">
        <f t="shared" ca="1" si="0"/>
        <v>0</v>
      </c>
      <c r="R2" s="116" t="b">
        <f t="shared" ca="1" si="0"/>
        <v>0</v>
      </c>
      <c r="S2" s="50" t="b">
        <f t="shared" ca="1" si="0"/>
        <v>1</v>
      </c>
      <c r="T2" s="50" t="b">
        <f t="shared" ca="1" si="0"/>
        <v>1</v>
      </c>
      <c r="U2" s="50" t="b">
        <f t="shared" ca="1" si="0"/>
        <v>0</v>
      </c>
      <c r="V2" s="50" t="b">
        <f t="shared" ca="1" si="0"/>
        <v>0</v>
      </c>
      <c r="W2" s="50" t="b">
        <f t="shared" ca="1" si="0"/>
        <v>0</v>
      </c>
      <c r="X2" s="50" t="b">
        <f t="shared" ca="1" si="0"/>
        <v>0</v>
      </c>
      <c r="Y2" s="50" t="b">
        <f t="shared" ca="1" si="0"/>
        <v>0</v>
      </c>
      <c r="Z2" s="50" t="b">
        <f t="shared" ca="1" si="0"/>
        <v>1</v>
      </c>
      <c r="AA2" s="50" t="b">
        <f t="shared" ca="1" si="0"/>
        <v>1</v>
      </c>
      <c r="AB2" s="50" t="b">
        <f t="shared" ca="1" si="0"/>
        <v>0</v>
      </c>
      <c r="AC2" s="50" t="b">
        <f t="shared" ca="1" si="0"/>
        <v>0</v>
      </c>
      <c r="AD2" s="50" t="b">
        <f t="shared" ca="1" si="0"/>
        <v>0</v>
      </c>
      <c r="AE2" s="50" t="b">
        <f t="shared" ca="1" si="0"/>
        <v>0</v>
      </c>
      <c r="AF2" s="50" t="b">
        <f ca="1">OR(OR(WEEKDAY(AF3,2)=6,WEEKDAY(AF3,2)=7),IFERROR(INDEX(INDIRECT("Shortened[WorkHours]"),MATCH(AF3,INDIRECT("Shortened[DateInYear]"),0),0),0)&gt;7,IFERROR(INDEX(INDIRECT("Clamp[WorkHours]"),MATCH(AF3,INDIRECT("Clamp[DateInYear]"),0),0),0)&gt;7,IFERROR(MATCH(AF3,INDIRECT("Fixed_dates[DateInYear]"),0),0)&gt;0,IFERROR(MATCH(AF3,INDIRECT("Fixed_weekdays[DateInYear]"),0),0)&gt;0)</f>
        <v>0</v>
      </c>
      <c r="AG2" s="50" t="b">
        <f t="shared" ca="1" si="0"/>
        <v>1</v>
      </c>
      <c r="AH2" s="50" t="b">
        <f t="shared" ca="1" si="0"/>
        <v>1</v>
      </c>
      <c r="AI2" s="100"/>
      <c r="AJ2" s="117"/>
    </row>
    <row r="3" spans="2:38" ht="17.149999999999999" customHeight="1">
      <c r="B3" s="85" t="s">
        <v>74</v>
      </c>
      <c r="C3" s="86"/>
      <c r="D3" s="87">
        <f>DATEVALUE(AloxÅr&amp;"-"&amp;VLOOKUP(LEFT(B1,3),Holidays!$M$4:$N$15,2,0)&amp;"-1")</f>
        <v>44470</v>
      </c>
      <c r="E3" s="87">
        <f>DATE(YEAR(D3),MONTH(D3),DAY(D3)+1)</f>
        <v>44471</v>
      </c>
      <c r="F3" s="87">
        <f t="shared" ref="F3:AH3" si="1">DATE(YEAR(E3),MONTH(E3),DAY(E3)+1)</f>
        <v>44472</v>
      </c>
      <c r="G3" s="87">
        <f t="shared" si="1"/>
        <v>44473</v>
      </c>
      <c r="H3" s="87">
        <f t="shared" si="1"/>
        <v>44474</v>
      </c>
      <c r="I3" s="87">
        <f t="shared" si="1"/>
        <v>44475</v>
      </c>
      <c r="J3" s="87">
        <f t="shared" si="1"/>
        <v>44476</v>
      </c>
      <c r="K3" s="87">
        <f t="shared" si="1"/>
        <v>44477</v>
      </c>
      <c r="L3" s="87">
        <f t="shared" si="1"/>
        <v>44478</v>
      </c>
      <c r="M3" s="87">
        <f t="shared" si="1"/>
        <v>44479</v>
      </c>
      <c r="N3" s="87">
        <f t="shared" si="1"/>
        <v>44480</v>
      </c>
      <c r="O3" s="87">
        <f t="shared" si="1"/>
        <v>44481</v>
      </c>
      <c r="P3" s="87">
        <f t="shared" si="1"/>
        <v>44482</v>
      </c>
      <c r="Q3" s="87">
        <f t="shared" si="1"/>
        <v>44483</v>
      </c>
      <c r="R3" s="87">
        <f t="shared" si="1"/>
        <v>44484</v>
      </c>
      <c r="S3" s="87">
        <f t="shared" si="1"/>
        <v>44485</v>
      </c>
      <c r="T3" s="87">
        <f t="shared" si="1"/>
        <v>44486</v>
      </c>
      <c r="U3" s="87">
        <f t="shared" si="1"/>
        <v>44487</v>
      </c>
      <c r="V3" s="87">
        <f t="shared" si="1"/>
        <v>44488</v>
      </c>
      <c r="W3" s="87">
        <f t="shared" si="1"/>
        <v>44489</v>
      </c>
      <c r="X3" s="87">
        <f t="shared" si="1"/>
        <v>44490</v>
      </c>
      <c r="Y3" s="87">
        <f t="shared" si="1"/>
        <v>44491</v>
      </c>
      <c r="Z3" s="87">
        <f t="shared" si="1"/>
        <v>44492</v>
      </c>
      <c r="AA3" s="87">
        <f t="shared" si="1"/>
        <v>44493</v>
      </c>
      <c r="AB3" s="87">
        <f t="shared" si="1"/>
        <v>44494</v>
      </c>
      <c r="AC3" s="87">
        <f t="shared" si="1"/>
        <v>44495</v>
      </c>
      <c r="AD3" s="87">
        <f t="shared" si="1"/>
        <v>44496</v>
      </c>
      <c r="AE3" s="87">
        <f t="shared" si="1"/>
        <v>44497</v>
      </c>
      <c r="AF3" s="87">
        <f t="shared" si="1"/>
        <v>44498</v>
      </c>
      <c r="AG3" s="87">
        <f t="shared" si="1"/>
        <v>44499</v>
      </c>
      <c r="AH3" s="87">
        <f t="shared" si="1"/>
        <v>44500</v>
      </c>
      <c r="AI3" s="113" t="s">
        <v>3</v>
      </c>
      <c r="AJ3" s="113" t="s">
        <v>97</v>
      </c>
      <c r="AK3" s="183" t="s">
        <v>213</v>
      </c>
    </row>
    <row r="4" spans="2:38" s="64" customFormat="1" ht="17.149999999999999" customHeight="1">
      <c r="B4" s="327" t="str">
        <f>IFERROR(Project.01&amp;" "&amp;WP.01&amp;" "&amp;Contract.01&amp;" "&amp;Type.01&amp;" "&amp;Activity.01," ")</f>
        <v xml:space="preserve">    </v>
      </c>
      <c r="C4" s="327"/>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9">
        <f t="shared" ref="AI4:AI23" si="2">SUM(D4:AH4)</f>
        <v>0</v>
      </c>
      <c r="AJ4" s="111" t="str">
        <f t="shared" ref="AJ4:AJ23" si="3">IFERROR(AI4/$AI$26,"")</f>
        <v/>
      </c>
      <c r="AK4" s="188"/>
      <c r="AL4" s="119"/>
    </row>
    <row r="5" spans="2:38" s="64" customFormat="1" ht="17.149999999999999" customHeight="1">
      <c r="B5" s="327" t="str">
        <f>IFERROR(Project.02&amp;" "&amp;WP.02&amp;" "&amp;Contract.02&amp;" "&amp;Type.02&amp;" "&amp;Activity.02," ")</f>
        <v xml:space="preserve">    </v>
      </c>
      <c r="C5" s="327"/>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9">
        <f t="shared" si="2"/>
        <v>0</v>
      </c>
      <c r="AJ5" s="111" t="str">
        <f t="shared" si="3"/>
        <v/>
      </c>
      <c r="AK5" s="188"/>
      <c r="AL5" s="119"/>
    </row>
    <row r="6" spans="2:38" s="64" customFormat="1" ht="17.149999999999999" customHeight="1">
      <c r="B6" s="327" t="str">
        <f>IFERROR(Project.03&amp;" "&amp;WP.03&amp;" "&amp;Contract.03&amp;" "&amp;Type.03&amp;" "&amp;Activity.03," ")</f>
        <v xml:space="preserve">    </v>
      </c>
      <c r="C6" s="327"/>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9">
        <f t="shared" si="2"/>
        <v>0</v>
      </c>
      <c r="AJ6" s="111" t="str">
        <f t="shared" si="3"/>
        <v/>
      </c>
      <c r="AK6" s="188"/>
      <c r="AL6" s="119"/>
    </row>
    <row r="7" spans="2:38" s="64" customFormat="1" ht="17.149999999999999" customHeight="1">
      <c r="B7" s="327" t="str">
        <f>IFERROR(Project.04&amp;" "&amp;WP.04&amp;" "&amp;Contract.04&amp;" "&amp;Type.04&amp;" "&amp;Activity.04," ")</f>
        <v xml:space="preserve">    </v>
      </c>
      <c r="C7" s="327"/>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9">
        <f t="shared" si="2"/>
        <v>0</v>
      </c>
      <c r="AJ7" s="111" t="str">
        <f t="shared" si="3"/>
        <v/>
      </c>
      <c r="AK7" s="188"/>
      <c r="AL7" s="119"/>
    </row>
    <row r="8" spans="2:38" s="64" customFormat="1" ht="17.149999999999999" customHeight="1">
      <c r="B8" s="327" t="str">
        <f>IFERROR(Project.05&amp;" "&amp;WP.05&amp;" "&amp;Contract.05&amp;" "&amp;Type.05&amp;" "&amp;Activity.05," ")</f>
        <v xml:space="preserve">    </v>
      </c>
      <c r="C8" s="327"/>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9">
        <f t="shared" si="2"/>
        <v>0</v>
      </c>
      <c r="AJ8" s="111" t="str">
        <f t="shared" si="3"/>
        <v/>
      </c>
      <c r="AK8" s="188"/>
      <c r="AL8" s="119"/>
    </row>
    <row r="9" spans="2:38" s="64" customFormat="1" ht="17.149999999999999" customHeight="1">
      <c r="B9" s="327" t="str">
        <f>IFERROR(Project.06&amp;" "&amp;WP.06&amp;" "&amp;Contract.06&amp;" "&amp;Type.06&amp;" "&amp;Activity.06," ")</f>
        <v xml:space="preserve">    </v>
      </c>
      <c r="C9" s="327"/>
      <c r="D9" s="88"/>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9">
        <f t="shared" si="2"/>
        <v>0</v>
      </c>
      <c r="AJ9" s="111" t="str">
        <f t="shared" si="3"/>
        <v/>
      </c>
      <c r="AK9" s="188"/>
      <c r="AL9" s="119"/>
    </row>
    <row r="10" spans="2:38" s="64" customFormat="1" ht="17.149999999999999" customHeight="1">
      <c r="B10" s="327" t="str">
        <f>IFERROR(Project.07&amp;" "&amp;WP.07&amp;" "&amp;Contract.07&amp;" "&amp;Type.07&amp;" "&amp;Activity.07," ")</f>
        <v xml:space="preserve">    </v>
      </c>
      <c r="C10" s="327"/>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9">
        <f t="shared" si="2"/>
        <v>0</v>
      </c>
      <c r="AJ10" s="111" t="str">
        <f t="shared" si="3"/>
        <v/>
      </c>
      <c r="AK10" s="188"/>
      <c r="AL10" s="119"/>
    </row>
    <row r="11" spans="2:38" s="64" customFormat="1" ht="17.149999999999999" customHeight="1">
      <c r="B11" s="327" t="str">
        <f>IFERROR(Project.08&amp;" "&amp;WP.08&amp;" "&amp;Contract.08&amp;" "&amp;Type.08&amp;" "&amp;Activity.08," ")</f>
        <v xml:space="preserve">    </v>
      </c>
      <c r="C11" s="327"/>
      <c r="D11" s="88"/>
      <c r="E11" s="88"/>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9">
        <f t="shared" si="2"/>
        <v>0</v>
      </c>
      <c r="AJ11" s="111" t="str">
        <f t="shared" si="3"/>
        <v/>
      </c>
      <c r="AK11" s="188"/>
      <c r="AL11" s="119"/>
    </row>
    <row r="12" spans="2:38" s="64" customFormat="1" ht="17.149999999999999" customHeight="1">
      <c r="B12" s="327" t="str">
        <f>(Project.09&amp;" "&amp;WP.09&amp;" "&amp;Contract.09&amp;" "&amp;Type.09&amp;" "&amp;Activity.09)</f>
        <v xml:space="preserve">    </v>
      </c>
      <c r="C12" s="327"/>
      <c r="D12" s="88"/>
      <c r="E12" s="88"/>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9">
        <f t="shared" si="2"/>
        <v>0</v>
      </c>
      <c r="AJ12" s="111" t="str">
        <f t="shared" si="3"/>
        <v/>
      </c>
      <c r="AK12" s="188"/>
      <c r="AL12" s="119"/>
    </row>
    <row r="13" spans="2:38" s="64" customFormat="1" ht="17.149999999999999" customHeight="1">
      <c r="B13" s="327" t="str">
        <f>IFERROR(Project.10&amp;" "&amp;WP.10&amp;" "&amp;Contract.10&amp;" "&amp;Type.10&amp;" "&amp;Activity.10," ")</f>
        <v xml:space="preserve">    </v>
      </c>
      <c r="C13" s="327"/>
      <c r="D13" s="88"/>
      <c r="E13" s="88"/>
      <c r="F13" s="88"/>
      <c r="G13" s="88"/>
      <c r="H13" s="88"/>
      <c r="I13" s="88"/>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9">
        <f t="shared" si="2"/>
        <v>0</v>
      </c>
      <c r="AJ13" s="111" t="str">
        <f t="shared" si="3"/>
        <v/>
      </c>
      <c r="AK13" s="188"/>
      <c r="AL13" s="119"/>
    </row>
    <row r="14" spans="2:38" s="64" customFormat="1" ht="17.149999999999999" customHeight="1">
      <c r="B14" s="327" t="str">
        <f>IFERROR(Project.11&amp;" "&amp;WP.11&amp;" "&amp;Contract.11&amp;" "&amp;Type.11&amp;" "&amp;Activity.11," ")</f>
        <v xml:space="preserve">    </v>
      </c>
      <c r="C14" s="327"/>
      <c r="D14" s="88"/>
      <c r="E14" s="88"/>
      <c r="F14" s="88"/>
      <c r="G14" s="88"/>
      <c r="H14" s="88"/>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9">
        <f t="shared" si="2"/>
        <v>0</v>
      </c>
      <c r="AJ14" s="111" t="str">
        <f t="shared" si="3"/>
        <v/>
      </c>
      <c r="AK14" s="188"/>
      <c r="AL14" s="119"/>
    </row>
    <row r="15" spans="2:38" s="64" customFormat="1" ht="17.149999999999999" customHeight="1">
      <c r="B15" s="327" t="str">
        <f>IFERROR(Project.12&amp;" "&amp;WP.12&amp;" "&amp;Contract.12&amp;" "&amp;Type.12&amp;" "&amp;Activity.12," ")</f>
        <v xml:space="preserve">    </v>
      </c>
      <c r="C15" s="327"/>
      <c r="D15" s="88"/>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9">
        <f t="shared" si="2"/>
        <v>0</v>
      </c>
      <c r="AJ15" s="111" t="str">
        <f t="shared" si="3"/>
        <v/>
      </c>
      <c r="AK15" s="188"/>
      <c r="AL15" s="119"/>
    </row>
    <row r="16" spans="2:38" s="64" customFormat="1" ht="17.149999999999999" customHeight="1">
      <c r="B16" s="327" t="str">
        <f>IFERROR(Project.13&amp;" "&amp;WP.13&amp;" "&amp;Contract.13&amp;" "&amp;Type.13&amp;" "&amp;Activity.13," ")</f>
        <v xml:space="preserve">    </v>
      </c>
      <c r="C16" s="327"/>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9">
        <f t="shared" si="2"/>
        <v>0</v>
      </c>
      <c r="AJ16" s="111" t="str">
        <f t="shared" si="3"/>
        <v/>
      </c>
      <c r="AK16" s="188"/>
      <c r="AL16" s="119"/>
    </row>
    <row r="17" spans="2:43" s="64" customFormat="1" ht="17.149999999999999" customHeight="1">
      <c r="B17" s="327" t="str">
        <f>IFERROR(Project.14&amp;" "&amp;WP.14&amp;" "&amp;Contract.14&amp;" "&amp;Type.14&amp;" "&amp;Activity.14," ")</f>
        <v xml:space="preserve">    </v>
      </c>
      <c r="C17" s="327"/>
      <c r="D17" s="88"/>
      <c r="E17" s="88"/>
      <c r="F17" s="88"/>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9">
        <f t="shared" si="2"/>
        <v>0</v>
      </c>
      <c r="AJ17" s="111" t="str">
        <f t="shared" si="3"/>
        <v/>
      </c>
      <c r="AK17" s="188"/>
      <c r="AL17" s="119"/>
    </row>
    <row r="18" spans="2:43" s="64" customFormat="1" ht="17.149999999999999" customHeight="1">
      <c r="B18" s="327" t="str">
        <f>IFERROR(Project.15&amp;" "&amp;WP.15&amp;" "&amp;Contract.15&amp;" "&amp;Type.15&amp;" "&amp;Activity.15," ")</f>
        <v xml:space="preserve">    </v>
      </c>
      <c r="C18" s="327"/>
      <c r="D18" s="88"/>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9">
        <f t="shared" si="2"/>
        <v>0</v>
      </c>
      <c r="AJ18" s="111" t="str">
        <f t="shared" si="3"/>
        <v/>
      </c>
      <c r="AK18" s="188"/>
      <c r="AL18" s="119"/>
    </row>
    <row r="19" spans="2:43" s="64" customFormat="1" ht="17.149999999999999" customHeight="1">
      <c r="B19" s="327" t="str">
        <f>IFERROR(Project.16&amp;" "&amp;WP.16&amp;" "&amp;Contract.16&amp;" "&amp;Type.16&amp;" "&amp;Activity.16," ")</f>
        <v xml:space="preserve">    </v>
      </c>
      <c r="C19" s="327"/>
      <c r="D19" s="88"/>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9">
        <f t="shared" si="2"/>
        <v>0</v>
      </c>
      <c r="AJ19" s="111" t="str">
        <f t="shared" si="3"/>
        <v/>
      </c>
      <c r="AK19" s="188"/>
      <c r="AL19" s="119"/>
    </row>
    <row r="20" spans="2:43" s="64" customFormat="1" ht="17.149999999999999" customHeight="1">
      <c r="B20" s="327" t="str">
        <f>IFERROR(Project.17&amp;" "&amp;WP.17&amp;" "&amp;Contract.17&amp;" "&amp;Type.17&amp;" "&amp;Activity.17," ")</f>
        <v xml:space="preserve">    </v>
      </c>
      <c r="C20" s="327"/>
      <c r="D20" s="88"/>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9">
        <f t="shared" si="2"/>
        <v>0</v>
      </c>
      <c r="AJ20" s="111" t="str">
        <f t="shared" si="3"/>
        <v/>
      </c>
      <c r="AK20" s="188"/>
      <c r="AL20" s="119"/>
    </row>
    <row r="21" spans="2:43" s="64" customFormat="1" ht="17.149999999999999" customHeight="1">
      <c r="B21" s="327" t="str">
        <f>IFERROR(Project.18&amp;" "&amp;WP.18&amp;" "&amp;Contract.18&amp;" "&amp;Type.18&amp;" "&amp;Activity.18," ")</f>
        <v xml:space="preserve">    </v>
      </c>
      <c r="C21" s="327"/>
      <c r="D21" s="88"/>
      <c r="E21" s="88"/>
      <c r="F21" s="88"/>
      <c r="G21" s="88"/>
      <c r="H21" s="88"/>
      <c r="I21" s="88"/>
      <c r="J21" s="88"/>
      <c r="K21" s="88"/>
      <c r="L21" s="88"/>
      <c r="M21" s="88"/>
      <c r="N21" s="88"/>
      <c r="O21" s="88"/>
      <c r="P21" s="88"/>
      <c r="Q21" s="88"/>
      <c r="R21" s="88"/>
      <c r="S21" s="88"/>
      <c r="T21" s="88"/>
      <c r="U21" s="88"/>
      <c r="V21" s="88"/>
      <c r="W21" s="88"/>
      <c r="X21" s="88"/>
      <c r="Y21" s="88"/>
      <c r="Z21" s="88"/>
      <c r="AA21" s="88"/>
      <c r="AB21" s="88"/>
      <c r="AC21" s="88"/>
      <c r="AD21" s="88"/>
      <c r="AE21" s="88"/>
      <c r="AF21" s="88"/>
      <c r="AG21" s="88"/>
      <c r="AH21" s="88"/>
      <c r="AI21" s="89">
        <f t="shared" si="2"/>
        <v>0</v>
      </c>
      <c r="AJ21" s="111" t="str">
        <f t="shared" si="3"/>
        <v/>
      </c>
      <c r="AK21" s="188"/>
      <c r="AL21" s="119"/>
    </row>
    <row r="22" spans="2:43" s="64" customFormat="1" ht="17.149999999999999" customHeight="1">
      <c r="B22" s="327" t="str">
        <f>IFERROR(Project.19&amp;" "&amp;WP.19&amp;" "&amp;Contract.19&amp;" "&amp;Type.19&amp;" "&amp;Activity.19," ")</f>
        <v xml:space="preserve">    </v>
      </c>
      <c r="C22" s="327"/>
      <c r="D22" s="88"/>
      <c r="E22" s="88"/>
      <c r="F22" s="88"/>
      <c r="G22" s="88"/>
      <c r="H22" s="88"/>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9">
        <f t="shared" si="2"/>
        <v>0</v>
      </c>
      <c r="AJ22" s="111" t="str">
        <f t="shared" si="3"/>
        <v/>
      </c>
      <c r="AK22" s="188"/>
      <c r="AL22" s="119"/>
    </row>
    <row r="23" spans="2:43" s="64" customFormat="1" ht="17.149999999999999" customHeight="1">
      <c r="B23" s="328" t="str">
        <f>IFERROR(Project.20&amp;" "&amp;WP.20&amp;" "&amp;Contract.20&amp;" "&amp;Type.20&amp;" "&amp;Activity.20," ")</f>
        <v xml:space="preserve">OTHER HOURS WORKED    </v>
      </c>
      <c r="C23" s="328"/>
      <c r="D23" s="88"/>
      <c r="E23" s="88"/>
      <c r="F23" s="88"/>
      <c r="G23" s="88"/>
      <c r="H23" s="88"/>
      <c r="I23" s="88"/>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9">
        <f t="shared" si="2"/>
        <v>0</v>
      </c>
      <c r="AJ23" s="111" t="str">
        <f t="shared" si="3"/>
        <v/>
      </c>
      <c r="AK23" s="188"/>
      <c r="AL23" s="119"/>
    </row>
    <row r="24" spans="2:43" s="64" customFormat="1" ht="17.149999999999999" customHeight="1">
      <c r="B24" s="207" t="s">
        <v>239</v>
      </c>
      <c r="C24" s="81"/>
      <c r="D24" s="208"/>
      <c r="E24" s="208"/>
      <c r="F24" s="208"/>
      <c r="G24" s="208"/>
      <c r="H24" s="208"/>
      <c r="I24" s="208"/>
      <c r="J24" s="208"/>
      <c r="K24" s="208"/>
      <c r="L24" s="208"/>
      <c r="M24" s="208"/>
      <c r="N24" s="208"/>
      <c r="O24" s="208"/>
      <c r="P24" s="208"/>
      <c r="Q24" s="208"/>
      <c r="R24" s="208"/>
      <c r="S24" s="208"/>
      <c r="T24" s="208"/>
      <c r="U24" s="208"/>
      <c r="V24" s="208"/>
      <c r="W24" s="208"/>
      <c r="X24" s="208"/>
      <c r="Y24" s="208"/>
      <c r="Z24" s="208"/>
      <c r="AA24" s="208"/>
      <c r="AB24" s="208"/>
      <c r="AC24" s="208"/>
      <c r="AD24" s="208"/>
      <c r="AE24" s="208"/>
      <c r="AF24" s="208"/>
      <c r="AG24" s="208"/>
      <c r="AH24" s="208"/>
      <c r="AI24" s="148">
        <f t="shared" ref="AI24" si="4">SUM(D24:AH24)</f>
        <v>0</v>
      </c>
      <c r="AJ24" s="149" t="str">
        <f>IFERROR(AI24/$AI$28,"")</f>
        <v/>
      </c>
      <c r="AK24" s="188"/>
      <c r="AL24" s="119"/>
    </row>
    <row r="25" spans="2:43" s="65" customFormat="1" ht="17.149999999999999" customHeight="1">
      <c r="B25" s="83" t="s">
        <v>56</v>
      </c>
      <c r="C25" s="84"/>
      <c r="D25" s="91">
        <f>D26</f>
        <v>0</v>
      </c>
      <c r="E25" s="91">
        <f t="shared" ref="E25:AH25" si="5">E26</f>
        <v>0</v>
      </c>
      <c r="F25" s="91">
        <f t="shared" si="5"/>
        <v>0</v>
      </c>
      <c r="G25" s="91">
        <f t="shared" si="5"/>
        <v>0</v>
      </c>
      <c r="H25" s="91">
        <f t="shared" si="5"/>
        <v>0</v>
      </c>
      <c r="I25" s="91">
        <f t="shared" si="5"/>
        <v>0</v>
      </c>
      <c r="J25" s="91">
        <f t="shared" si="5"/>
        <v>0</v>
      </c>
      <c r="K25" s="91">
        <f t="shared" si="5"/>
        <v>0</v>
      </c>
      <c r="L25" s="91">
        <f t="shared" si="5"/>
        <v>0</v>
      </c>
      <c r="M25" s="91">
        <f t="shared" si="5"/>
        <v>0</v>
      </c>
      <c r="N25" s="91">
        <f t="shared" si="5"/>
        <v>0</v>
      </c>
      <c r="O25" s="91">
        <f t="shared" si="5"/>
        <v>0</v>
      </c>
      <c r="P25" s="91">
        <f t="shared" si="5"/>
        <v>0</v>
      </c>
      <c r="Q25" s="91">
        <f t="shared" si="5"/>
        <v>0</v>
      </c>
      <c r="R25" s="91">
        <f t="shared" si="5"/>
        <v>0</v>
      </c>
      <c r="S25" s="91">
        <f t="shared" si="5"/>
        <v>0</v>
      </c>
      <c r="T25" s="91">
        <f t="shared" si="5"/>
        <v>0</v>
      </c>
      <c r="U25" s="91">
        <f t="shared" si="5"/>
        <v>0</v>
      </c>
      <c r="V25" s="91">
        <f t="shared" si="5"/>
        <v>0</v>
      </c>
      <c r="W25" s="91">
        <f t="shared" si="5"/>
        <v>0</v>
      </c>
      <c r="X25" s="91">
        <f t="shared" si="5"/>
        <v>0</v>
      </c>
      <c r="Y25" s="91">
        <f t="shared" si="5"/>
        <v>0</v>
      </c>
      <c r="Z25" s="91">
        <f t="shared" si="5"/>
        <v>0</v>
      </c>
      <c r="AA25" s="91">
        <f t="shared" si="5"/>
        <v>0</v>
      </c>
      <c r="AB25" s="91">
        <f t="shared" si="5"/>
        <v>0</v>
      </c>
      <c r="AC25" s="91">
        <f t="shared" si="5"/>
        <v>0</v>
      </c>
      <c r="AD25" s="91">
        <f t="shared" si="5"/>
        <v>0</v>
      </c>
      <c r="AE25" s="91">
        <f t="shared" si="5"/>
        <v>0</v>
      </c>
      <c r="AF25" s="91">
        <f t="shared" si="5"/>
        <v>0</v>
      </c>
      <c r="AG25" s="91">
        <f t="shared" si="5"/>
        <v>0</v>
      </c>
      <c r="AH25" s="91">
        <f t="shared" si="5"/>
        <v>0</v>
      </c>
      <c r="AI25" s="92"/>
      <c r="AJ25" s="82"/>
      <c r="AL25" s="120"/>
    </row>
    <row r="26" spans="2:43" s="64" customFormat="1" ht="17.149999999999999" customHeight="1">
      <c r="B26" s="318" t="s">
        <v>4</v>
      </c>
      <c r="C26" s="319"/>
      <c r="D26" s="93">
        <f t="shared" ref="D26:AH26" si="6">SUM(D4:D23)</f>
        <v>0</v>
      </c>
      <c r="E26" s="93">
        <f t="shared" si="6"/>
        <v>0</v>
      </c>
      <c r="F26" s="93">
        <f t="shared" si="6"/>
        <v>0</v>
      </c>
      <c r="G26" s="93">
        <f t="shared" si="6"/>
        <v>0</v>
      </c>
      <c r="H26" s="93">
        <f t="shared" si="6"/>
        <v>0</v>
      </c>
      <c r="I26" s="93">
        <f t="shared" si="6"/>
        <v>0</v>
      </c>
      <c r="J26" s="93">
        <f t="shared" si="6"/>
        <v>0</v>
      </c>
      <c r="K26" s="93">
        <f t="shared" si="6"/>
        <v>0</v>
      </c>
      <c r="L26" s="93">
        <f t="shared" si="6"/>
        <v>0</v>
      </c>
      <c r="M26" s="93">
        <f t="shared" si="6"/>
        <v>0</v>
      </c>
      <c r="N26" s="93">
        <f t="shared" si="6"/>
        <v>0</v>
      </c>
      <c r="O26" s="93">
        <f t="shared" si="6"/>
        <v>0</v>
      </c>
      <c r="P26" s="93">
        <f t="shared" si="6"/>
        <v>0</v>
      </c>
      <c r="Q26" s="93">
        <f t="shared" si="6"/>
        <v>0</v>
      </c>
      <c r="R26" s="93">
        <f t="shared" si="6"/>
        <v>0</v>
      </c>
      <c r="S26" s="93">
        <f t="shared" si="6"/>
        <v>0</v>
      </c>
      <c r="T26" s="93">
        <f t="shared" si="6"/>
        <v>0</v>
      </c>
      <c r="U26" s="93">
        <f t="shared" si="6"/>
        <v>0</v>
      </c>
      <c r="V26" s="93">
        <f t="shared" si="6"/>
        <v>0</v>
      </c>
      <c r="W26" s="93">
        <f t="shared" si="6"/>
        <v>0</v>
      </c>
      <c r="X26" s="93">
        <f t="shared" si="6"/>
        <v>0</v>
      </c>
      <c r="Y26" s="93">
        <f t="shared" si="6"/>
        <v>0</v>
      </c>
      <c r="Z26" s="93">
        <f t="shared" si="6"/>
        <v>0</v>
      </c>
      <c r="AA26" s="93">
        <f t="shared" si="6"/>
        <v>0</v>
      </c>
      <c r="AB26" s="93">
        <f t="shared" si="6"/>
        <v>0</v>
      </c>
      <c r="AC26" s="93">
        <f t="shared" si="6"/>
        <v>0</v>
      </c>
      <c r="AD26" s="93">
        <f t="shared" si="6"/>
        <v>0</v>
      </c>
      <c r="AE26" s="93">
        <f t="shared" si="6"/>
        <v>0</v>
      </c>
      <c r="AF26" s="93">
        <f t="shared" si="6"/>
        <v>0</v>
      </c>
      <c r="AG26" s="93">
        <f t="shared" si="6"/>
        <v>0</v>
      </c>
      <c r="AH26" s="93">
        <f t="shared" si="6"/>
        <v>0</v>
      </c>
      <c r="AI26" s="94">
        <f>SUM(D26:AH26)</f>
        <v>0</v>
      </c>
      <c r="AJ26" s="82"/>
      <c r="AK26" s="12"/>
      <c r="AL26" s="12"/>
      <c r="AM26" s="12"/>
      <c r="AN26" s="12"/>
      <c r="AO26" s="12"/>
      <c r="AP26" s="12"/>
      <c r="AQ26" s="12"/>
    </row>
    <row r="27" spans="2:43" s="65" customFormat="1" ht="17.149999999999999" customHeight="1">
      <c r="B27" s="83" t="s">
        <v>56</v>
      </c>
      <c r="C27" s="84"/>
      <c r="D27" s="91"/>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2"/>
      <c r="AJ27" s="84"/>
      <c r="AK27" s="12"/>
      <c r="AL27" s="12"/>
      <c r="AM27" s="12"/>
      <c r="AN27" s="12"/>
      <c r="AO27" s="12"/>
      <c r="AP27" s="12"/>
      <c r="AQ27" s="12"/>
    </row>
    <row r="28" spans="2:43" s="64" customFormat="1" ht="17.149999999999999" customHeight="1">
      <c r="B28" s="318" t="s">
        <v>5</v>
      </c>
      <c r="C28" s="319"/>
      <c r="D28" s="93">
        <f>SUM(D4:D24)</f>
        <v>0</v>
      </c>
      <c r="E28" s="93">
        <f t="shared" ref="E28:AH28" si="7">SUM(E4:E24)</f>
        <v>0</v>
      </c>
      <c r="F28" s="93">
        <f t="shared" si="7"/>
        <v>0</v>
      </c>
      <c r="G28" s="93">
        <f t="shared" si="7"/>
        <v>0</v>
      </c>
      <c r="H28" s="93">
        <f t="shared" si="7"/>
        <v>0</v>
      </c>
      <c r="I28" s="93">
        <f t="shared" si="7"/>
        <v>0</v>
      </c>
      <c r="J28" s="93">
        <f t="shared" si="7"/>
        <v>0</v>
      </c>
      <c r="K28" s="93">
        <f t="shared" si="7"/>
        <v>0</v>
      </c>
      <c r="L28" s="93">
        <f t="shared" si="7"/>
        <v>0</v>
      </c>
      <c r="M28" s="93">
        <f t="shared" si="7"/>
        <v>0</v>
      </c>
      <c r="N28" s="93">
        <f t="shared" si="7"/>
        <v>0</v>
      </c>
      <c r="O28" s="93">
        <f t="shared" si="7"/>
        <v>0</v>
      </c>
      <c r="P28" s="93">
        <f t="shared" si="7"/>
        <v>0</v>
      </c>
      <c r="Q28" s="93">
        <f t="shared" si="7"/>
        <v>0</v>
      </c>
      <c r="R28" s="93">
        <f t="shared" si="7"/>
        <v>0</v>
      </c>
      <c r="S28" s="93">
        <f t="shared" si="7"/>
        <v>0</v>
      </c>
      <c r="T28" s="93">
        <f t="shared" si="7"/>
        <v>0</v>
      </c>
      <c r="U28" s="93">
        <f t="shared" si="7"/>
        <v>0</v>
      </c>
      <c r="V28" s="93">
        <f t="shared" si="7"/>
        <v>0</v>
      </c>
      <c r="W28" s="93">
        <f t="shared" si="7"/>
        <v>0</v>
      </c>
      <c r="X28" s="93">
        <f t="shared" si="7"/>
        <v>0</v>
      </c>
      <c r="Y28" s="93">
        <f t="shared" si="7"/>
        <v>0</v>
      </c>
      <c r="Z28" s="93">
        <f t="shared" si="7"/>
        <v>0</v>
      </c>
      <c r="AA28" s="93">
        <f t="shared" si="7"/>
        <v>0</v>
      </c>
      <c r="AB28" s="93">
        <f t="shared" si="7"/>
        <v>0</v>
      </c>
      <c r="AC28" s="93">
        <f t="shared" si="7"/>
        <v>0</v>
      </c>
      <c r="AD28" s="93">
        <f t="shared" si="7"/>
        <v>0</v>
      </c>
      <c r="AE28" s="93">
        <f t="shared" si="7"/>
        <v>0</v>
      </c>
      <c r="AF28" s="93">
        <f t="shared" si="7"/>
        <v>0</v>
      </c>
      <c r="AG28" s="93">
        <f t="shared" si="7"/>
        <v>0</v>
      </c>
      <c r="AH28" s="93">
        <f t="shared" si="7"/>
        <v>0</v>
      </c>
      <c r="AI28" s="94">
        <f>SUM(D28:AH28)</f>
        <v>0</v>
      </c>
      <c r="AJ28" s="82"/>
      <c r="AK28" s="12"/>
      <c r="AL28" s="12"/>
      <c r="AM28" s="12"/>
      <c r="AN28" s="12"/>
      <c r="AO28" s="12"/>
      <c r="AP28" s="12"/>
      <c r="AQ28" s="12"/>
    </row>
    <row r="29" spans="2:43" ht="17.25" customHeight="1">
      <c r="B29" s="53" t="s">
        <v>56</v>
      </c>
      <c r="C29" s="54"/>
      <c r="D29" s="47"/>
      <c r="E29" s="47"/>
      <c r="F29" s="47"/>
      <c r="G29" s="47"/>
      <c r="H29" s="47"/>
      <c r="I29" s="47"/>
      <c r="J29" s="47"/>
      <c r="K29" s="47"/>
      <c r="L29" s="47"/>
      <c r="M29" s="47"/>
      <c r="N29" s="47"/>
      <c r="O29" s="47"/>
      <c r="P29" s="47"/>
      <c r="Q29" s="47"/>
      <c r="R29" s="47"/>
      <c r="S29" s="47"/>
      <c r="T29" s="47"/>
      <c r="U29" s="47"/>
      <c r="V29" s="55"/>
      <c r="W29" s="55"/>
      <c r="X29" s="55"/>
      <c r="Y29" s="55"/>
      <c r="Z29" s="55"/>
      <c r="AA29" s="55"/>
      <c r="AB29" s="55"/>
      <c r="AC29" s="55"/>
      <c r="AD29" s="55"/>
      <c r="AE29" s="55"/>
      <c r="AF29" s="55"/>
      <c r="AG29" s="55"/>
      <c r="AH29" s="55"/>
      <c r="AI29" s="56"/>
      <c r="AJ29" s="11"/>
      <c r="AL29" s="12"/>
    </row>
    <row r="30" spans="2:43" ht="17.25" customHeight="1">
      <c r="B30" s="101" t="s">
        <v>8</v>
      </c>
      <c r="C30" s="102"/>
      <c r="D30" s="102"/>
      <c r="E30" s="102"/>
      <c r="F30" s="102"/>
      <c r="G30" s="103" t="s">
        <v>9</v>
      </c>
      <c r="H30" s="102"/>
      <c r="I30" s="11"/>
      <c r="J30" s="57"/>
      <c r="K30" s="11"/>
      <c r="L30" s="75"/>
      <c r="M30" s="11"/>
      <c r="N30" s="11"/>
      <c r="O30" s="11"/>
      <c r="P30" s="11"/>
      <c r="Q30" s="331" t="str">
        <f>'Start page'!D30</f>
        <v>• Missing information – Enter Project Acronym/name</v>
      </c>
      <c r="R30" s="331"/>
      <c r="S30" s="331"/>
      <c r="T30" s="331"/>
      <c r="U30" s="331"/>
      <c r="V30" s="331"/>
      <c r="W30" s="331"/>
      <c r="X30" s="331"/>
      <c r="Y30" s="331"/>
      <c r="Z30" s="331"/>
      <c r="AA30" s="331"/>
      <c r="AB30" s="331"/>
      <c r="AC30" s="331"/>
      <c r="AD30" s="331"/>
      <c r="AE30" s="331"/>
      <c r="AF30" s="331"/>
      <c r="AG30" s="331"/>
      <c r="AH30" s="331"/>
      <c r="AI30" s="331"/>
      <c r="AJ30" s="58"/>
    </row>
    <row r="31" spans="2:43" ht="15.5">
      <c r="B31" s="104" t="s">
        <v>56</v>
      </c>
      <c r="C31" s="95"/>
      <c r="D31" s="95"/>
      <c r="E31" s="95"/>
      <c r="F31" s="102"/>
      <c r="G31" s="95"/>
      <c r="H31" s="95"/>
      <c r="I31" s="11"/>
      <c r="J31" s="47"/>
      <c r="K31" s="47"/>
      <c r="L31" s="76"/>
      <c r="M31" s="47"/>
      <c r="N31" s="47"/>
      <c r="O31" s="47"/>
      <c r="P31" s="47"/>
      <c r="Q31" s="331"/>
      <c r="R31" s="331"/>
      <c r="S31" s="331"/>
      <c r="T31" s="331"/>
      <c r="U31" s="331"/>
      <c r="V31" s="331"/>
      <c r="W31" s="331"/>
      <c r="X31" s="331"/>
      <c r="Y31" s="331"/>
      <c r="Z31" s="331"/>
      <c r="AA31" s="331"/>
      <c r="AB31" s="331"/>
      <c r="AC31" s="331"/>
      <c r="AD31" s="331"/>
      <c r="AE31" s="331"/>
      <c r="AF31" s="331"/>
      <c r="AG31" s="331"/>
      <c r="AH31" s="331"/>
      <c r="AI31" s="331"/>
      <c r="AJ31" s="325" t="s">
        <v>230</v>
      </c>
      <c r="AK31" s="326"/>
    </row>
    <row r="32" spans="2:43" ht="15.5">
      <c r="B32" s="105" t="s">
        <v>56</v>
      </c>
      <c r="C32" s="106"/>
      <c r="D32" s="106"/>
      <c r="E32" s="95"/>
      <c r="F32" s="102"/>
      <c r="G32" s="106"/>
      <c r="H32" s="107"/>
      <c r="I32" s="61"/>
      <c r="J32" s="61"/>
      <c r="K32" s="61"/>
      <c r="L32" s="61"/>
      <c r="M32" s="61"/>
      <c r="N32" s="61"/>
      <c r="O32" s="47"/>
      <c r="P32" s="47"/>
      <c r="Q32" s="65"/>
      <c r="R32" s="65"/>
      <c r="S32" s="47"/>
      <c r="T32" s="47"/>
      <c r="U32" s="47"/>
      <c r="V32" s="47"/>
      <c r="W32" s="47"/>
      <c r="X32" s="316"/>
      <c r="Y32" s="316"/>
      <c r="Z32" s="316"/>
      <c r="AA32" s="316"/>
      <c r="AB32" s="317"/>
      <c r="AC32" s="317"/>
      <c r="AD32" s="58"/>
      <c r="AE32" s="316"/>
      <c r="AF32" s="316"/>
      <c r="AG32" s="316"/>
      <c r="AH32" s="316"/>
      <c r="AI32" s="77"/>
      <c r="AJ32" s="195">
        <v>1</v>
      </c>
      <c r="AK32" s="196" t="s">
        <v>234</v>
      </c>
    </row>
    <row r="33" spans="2:37" ht="15.5">
      <c r="B33" s="108">
        <f>Member</f>
        <v>0</v>
      </c>
      <c r="C33" s="95"/>
      <c r="D33" s="95"/>
      <c r="E33" s="95"/>
      <c r="F33" s="102"/>
      <c r="G33" s="95">
        <f>Supervisor</f>
        <v>0</v>
      </c>
      <c r="H33" s="102"/>
      <c r="I33" s="11"/>
      <c r="J33" s="47"/>
      <c r="K33" s="47"/>
      <c r="L33" s="47"/>
      <c r="M33" s="47"/>
      <c r="N33" s="47"/>
      <c r="O33" s="47"/>
      <c r="P33" s="47"/>
      <c r="Q33" s="331" t="str">
        <f>'Start page'!D6</f>
        <v>• Missing information – Fill in all names and title/function on the Start Page</v>
      </c>
      <c r="R33" s="331"/>
      <c r="S33" s="331"/>
      <c r="T33" s="331"/>
      <c r="U33" s="331"/>
      <c r="V33" s="331"/>
      <c r="W33" s="331"/>
      <c r="X33" s="331"/>
      <c r="Y33" s="331"/>
      <c r="Z33" s="331"/>
      <c r="AA33" s="331"/>
      <c r="AB33" s="331"/>
      <c r="AC33" s="331"/>
      <c r="AD33" s="331"/>
      <c r="AE33" s="331"/>
      <c r="AF33" s="331"/>
      <c r="AG33" s="331"/>
      <c r="AH33" s="331"/>
      <c r="AI33" s="331"/>
      <c r="AJ33" s="197">
        <v>2</v>
      </c>
      <c r="AK33" s="198" t="s">
        <v>231</v>
      </c>
    </row>
    <row r="34" spans="2:37" ht="18.75" customHeight="1">
      <c r="B34" s="109">
        <f>Title.member</f>
        <v>0</v>
      </c>
      <c r="C34" s="102"/>
      <c r="D34" s="95"/>
      <c r="E34" s="102"/>
      <c r="F34" s="102"/>
      <c r="G34" s="102">
        <f>Title.supervisor</f>
        <v>0</v>
      </c>
      <c r="H34" s="95"/>
      <c r="I34" s="11"/>
      <c r="J34" s="60"/>
      <c r="K34" s="11"/>
      <c r="L34" s="11"/>
      <c r="M34" s="11"/>
      <c r="N34" s="11"/>
      <c r="O34" s="47"/>
      <c r="P34" s="47"/>
      <c r="Q34" s="65"/>
      <c r="R34" s="65"/>
      <c r="S34" s="47"/>
      <c r="T34" s="47"/>
      <c r="U34" s="47"/>
      <c r="V34" s="47"/>
      <c r="W34" s="47"/>
      <c r="X34" s="179"/>
      <c r="Y34" s="179"/>
      <c r="Z34" s="179"/>
      <c r="AA34" s="179"/>
      <c r="AB34" s="180"/>
      <c r="AC34" s="180"/>
      <c r="AD34" s="58"/>
      <c r="AE34" s="181"/>
      <c r="AF34" s="181"/>
      <c r="AG34" s="181"/>
      <c r="AH34" s="181"/>
      <c r="AI34" s="59"/>
      <c r="AJ34" s="62"/>
    </row>
    <row r="35" spans="2:37" ht="18.75" customHeight="1">
      <c r="B35" s="109" t="s">
        <v>72</v>
      </c>
      <c r="C35" s="102"/>
      <c r="D35" s="95"/>
      <c r="E35" s="102"/>
      <c r="F35" s="102"/>
      <c r="G35" s="102" t="s">
        <v>73</v>
      </c>
      <c r="H35" s="95"/>
      <c r="I35" s="11"/>
      <c r="J35" s="60"/>
      <c r="K35" s="11"/>
      <c r="L35" s="11"/>
      <c r="M35" s="11"/>
      <c r="N35" s="11"/>
      <c r="O35" s="47"/>
      <c r="P35" s="47"/>
      <c r="Q35" s="65"/>
      <c r="R35" s="65"/>
      <c r="S35" s="47"/>
      <c r="T35" s="47"/>
      <c r="U35" s="47"/>
      <c r="V35" s="47"/>
      <c r="W35" s="47"/>
      <c r="X35" s="316"/>
      <c r="Y35" s="316"/>
      <c r="Z35" s="316"/>
      <c r="AA35" s="316"/>
      <c r="AB35" s="317"/>
      <c r="AC35" s="317"/>
      <c r="AD35" s="58"/>
      <c r="AE35" s="320"/>
      <c r="AF35" s="320"/>
      <c r="AG35" s="320"/>
      <c r="AH35" s="320"/>
      <c r="AI35" s="59"/>
      <c r="AJ35" s="62"/>
    </row>
    <row r="36" spans="2:37" ht="12" customHeight="1">
      <c r="B36" s="109"/>
      <c r="C36" s="102"/>
      <c r="D36" s="95"/>
      <c r="E36" s="102"/>
      <c r="F36" s="102"/>
      <c r="G36" s="102"/>
      <c r="H36" s="95"/>
      <c r="I36" s="11"/>
      <c r="J36" s="60"/>
      <c r="K36" s="11"/>
      <c r="L36" s="11"/>
      <c r="M36" s="11"/>
      <c r="N36" s="11"/>
      <c r="O36" s="47"/>
      <c r="P36" s="47"/>
      <c r="Q36" s="65"/>
      <c r="R36" s="65"/>
      <c r="S36" s="47"/>
      <c r="T36" s="47"/>
      <c r="U36" s="47"/>
      <c r="V36" s="47"/>
      <c r="W36" s="47"/>
      <c r="X36" s="77"/>
      <c r="Y36" s="77"/>
      <c r="Z36" s="77"/>
      <c r="AA36" s="77"/>
      <c r="AB36" s="78"/>
      <c r="AC36" s="78"/>
      <c r="AD36" s="58"/>
      <c r="AE36" s="79"/>
      <c r="AF36" s="79"/>
      <c r="AG36" s="79"/>
      <c r="AH36" s="79"/>
      <c r="AI36" s="59"/>
      <c r="AJ36" s="62"/>
    </row>
    <row r="37" spans="2:37" ht="23.25" customHeight="1">
      <c r="B37" s="105" t="s">
        <v>56</v>
      </c>
      <c r="C37" s="95"/>
      <c r="D37" s="106"/>
      <c r="E37" s="102"/>
      <c r="F37" s="102"/>
      <c r="G37" s="106"/>
      <c r="H37" s="110" t="s">
        <v>56</v>
      </c>
      <c r="I37" s="61"/>
      <c r="J37" s="61"/>
      <c r="K37" s="61"/>
      <c r="L37" s="61"/>
      <c r="M37" s="61"/>
      <c r="N37" s="61"/>
      <c r="O37" s="47"/>
      <c r="P37" s="47"/>
      <c r="Q37" s="331" t="str">
        <f>'Start page'!D29</f>
        <v/>
      </c>
      <c r="R37" s="331"/>
      <c r="S37" s="331"/>
      <c r="T37" s="331"/>
      <c r="U37" s="331"/>
      <c r="V37" s="331"/>
      <c r="W37" s="331"/>
      <c r="X37" s="331"/>
      <c r="Y37" s="331"/>
      <c r="Z37" s="331"/>
      <c r="AA37" s="331"/>
      <c r="AB37" s="331"/>
      <c r="AC37" s="331"/>
      <c r="AD37" s="331"/>
      <c r="AE37" s="331"/>
      <c r="AF37" s="331"/>
      <c r="AG37" s="331"/>
      <c r="AH37" s="331"/>
      <c r="AI37" s="331"/>
      <c r="AJ37" s="47"/>
    </row>
    <row r="38" spans="2:37" ht="19.5" customHeight="1">
      <c r="B38" s="108" t="s">
        <v>1</v>
      </c>
      <c r="C38" s="108"/>
      <c r="D38" s="95"/>
      <c r="E38" s="102"/>
      <c r="F38" s="102"/>
      <c r="G38" s="95" t="s">
        <v>1</v>
      </c>
      <c r="H38" s="102"/>
      <c r="I38" s="47"/>
      <c r="J38" s="47"/>
      <c r="K38" s="47"/>
      <c r="L38" s="47"/>
      <c r="M38" s="47"/>
      <c r="N38" s="47"/>
      <c r="O38" s="47"/>
      <c r="P38" s="47"/>
      <c r="Q38" s="47"/>
      <c r="R38" s="65"/>
      <c r="S38" s="47"/>
      <c r="T38" s="47"/>
      <c r="U38" s="47"/>
      <c r="V38" s="47"/>
      <c r="W38" s="77"/>
      <c r="X38" s="77"/>
      <c r="Y38" s="77"/>
      <c r="Z38" s="77"/>
      <c r="AA38" s="79"/>
      <c r="AB38" s="79"/>
      <c r="AC38" s="77"/>
      <c r="AD38" s="77"/>
      <c r="AE38" s="77"/>
      <c r="AF38" s="77"/>
      <c r="AG38" s="77"/>
      <c r="AH38" s="77"/>
      <c r="AI38" s="47"/>
      <c r="AJ38" s="11"/>
    </row>
    <row r="39" spans="2:37" ht="14.5">
      <c r="B39" s="37" t="s">
        <v>56</v>
      </c>
      <c r="C39" s="37">
        <f>ROW()</f>
        <v>39</v>
      </c>
      <c r="D39" s="64"/>
      <c r="E39" s="64"/>
      <c r="F39" s="64"/>
      <c r="G39" s="64"/>
      <c r="H39" s="64"/>
      <c r="I39" s="64"/>
      <c r="J39" s="64"/>
      <c r="K39" s="64"/>
      <c r="L39" s="64"/>
      <c r="M39" s="64"/>
      <c r="N39" s="64"/>
      <c r="O39" s="64"/>
      <c r="P39" s="65"/>
      <c r="Q39" s="65"/>
      <c r="R39" s="65"/>
      <c r="S39" s="65"/>
      <c r="T39" s="65"/>
      <c r="U39" s="65"/>
      <c r="V39" s="65"/>
      <c r="W39" s="65"/>
      <c r="X39" s="65"/>
      <c r="Y39" s="65"/>
      <c r="Z39" s="65"/>
      <c r="AA39" s="65"/>
      <c r="AB39" s="65"/>
      <c r="AC39" s="314"/>
      <c r="AD39" s="322"/>
      <c r="AE39" s="322"/>
      <c r="AF39" s="322"/>
      <c r="AG39" s="322"/>
      <c r="AH39" s="322"/>
      <c r="AI39" s="65"/>
    </row>
    <row r="40" spans="2:37" ht="14.5">
      <c r="P40" s="34"/>
      <c r="Q40" s="34"/>
      <c r="R40" s="34"/>
      <c r="S40" s="34"/>
      <c r="T40" s="34"/>
      <c r="U40" s="34"/>
      <c r="V40" s="34"/>
      <c r="W40" s="34"/>
      <c r="X40" s="34"/>
      <c r="Y40" s="34"/>
      <c r="Z40" s="34"/>
      <c r="AA40" s="34"/>
      <c r="AB40" s="34"/>
      <c r="AC40" s="323"/>
      <c r="AD40" s="324"/>
      <c r="AE40" s="324"/>
      <c r="AF40" s="324"/>
      <c r="AG40" s="324"/>
      <c r="AH40" s="324"/>
      <c r="AI40" s="34"/>
    </row>
    <row r="41" spans="2:37" ht="14.5">
      <c r="B41" s="306" t="s">
        <v>235</v>
      </c>
      <c r="C41" s="307"/>
      <c r="D41" s="307"/>
      <c r="E41" s="307"/>
      <c r="F41" s="307"/>
      <c r="G41" s="308"/>
      <c r="H41" s="308"/>
      <c r="I41" s="309"/>
      <c r="J41" s="309"/>
      <c r="K41" s="309"/>
      <c r="L41" s="309"/>
      <c r="M41" s="309"/>
      <c r="N41" s="309"/>
      <c r="O41" s="310"/>
      <c r="P41" s="34"/>
      <c r="Q41" s="34"/>
      <c r="R41" s="34"/>
      <c r="S41" s="34"/>
      <c r="T41" s="34"/>
      <c r="U41" s="34"/>
      <c r="V41" s="34"/>
      <c r="W41" s="34"/>
      <c r="X41" s="34"/>
      <c r="Y41" s="34"/>
      <c r="Z41" s="34"/>
      <c r="AA41" s="34"/>
      <c r="AB41" s="34"/>
      <c r="AC41" s="314"/>
      <c r="AD41" s="315"/>
      <c r="AE41" s="315"/>
      <c r="AF41" s="315"/>
      <c r="AG41" s="315"/>
      <c r="AH41" s="315"/>
      <c r="AI41" s="34"/>
    </row>
    <row r="42" spans="2:37" ht="14.5">
      <c r="B42" s="311"/>
      <c r="C42" s="312"/>
      <c r="D42" s="312"/>
      <c r="E42" s="312"/>
      <c r="F42" s="312"/>
      <c r="G42" s="312"/>
      <c r="H42" s="312"/>
      <c r="I42" s="312"/>
      <c r="J42" s="312"/>
      <c r="K42" s="312"/>
      <c r="L42" s="312"/>
      <c r="M42" s="312"/>
      <c r="N42" s="312"/>
      <c r="O42" s="313"/>
      <c r="P42" s="34"/>
      <c r="Q42" s="34"/>
      <c r="R42" s="34"/>
      <c r="S42" s="34"/>
      <c r="T42" s="34"/>
      <c r="U42" s="34"/>
      <c r="V42" s="34"/>
      <c r="W42" s="34"/>
      <c r="X42" s="34"/>
      <c r="Y42" s="34"/>
      <c r="Z42" s="34"/>
      <c r="AA42" s="34"/>
      <c r="AB42" s="34"/>
      <c r="AC42" s="314"/>
      <c r="AD42" s="315"/>
      <c r="AE42" s="315"/>
      <c r="AF42" s="315"/>
      <c r="AG42" s="315"/>
      <c r="AH42" s="315"/>
      <c r="AI42" s="34"/>
    </row>
    <row r="43" spans="2:37" ht="14.5">
      <c r="P43" s="34"/>
      <c r="Q43" s="34"/>
      <c r="R43" s="34"/>
      <c r="S43" s="34"/>
      <c r="T43" s="34"/>
      <c r="U43" s="34"/>
      <c r="V43" s="34"/>
      <c r="W43" s="34"/>
      <c r="X43" s="34"/>
      <c r="Y43" s="34"/>
      <c r="Z43" s="34"/>
      <c r="AA43" s="34"/>
      <c r="AB43" s="34"/>
      <c r="AC43" s="34"/>
      <c r="AD43" s="34"/>
      <c r="AE43" s="34"/>
      <c r="AF43" s="34"/>
      <c r="AG43" s="34"/>
      <c r="AH43" s="34"/>
      <c r="AI43" s="34"/>
    </row>
    <row r="44" spans="2:37" ht="14.5">
      <c r="P44" s="34"/>
      <c r="Q44" s="34"/>
      <c r="R44" s="34"/>
      <c r="S44" s="34"/>
      <c r="T44" s="34"/>
      <c r="U44" s="34"/>
      <c r="V44" s="34"/>
      <c r="W44" s="34"/>
      <c r="X44" s="34"/>
      <c r="Y44" s="34"/>
      <c r="Z44" s="34"/>
      <c r="AA44" s="34"/>
      <c r="AB44" s="34"/>
      <c r="AC44" s="34"/>
      <c r="AD44" s="34"/>
      <c r="AE44" s="34"/>
      <c r="AF44" s="34"/>
      <c r="AG44" s="34"/>
      <c r="AH44" s="34"/>
      <c r="AI44" s="34"/>
    </row>
    <row r="45" spans="2:37" ht="14.5"/>
    <row r="46" spans="2:37" ht="14.5"/>
    <row r="47" spans="2:37" ht="14.5"/>
    <row r="48" spans="2:37" ht="14.5"/>
    <row r="49" ht="14.5"/>
    <row r="50" ht="14.5"/>
    <row r="51" ht="14.5"/>
    <row r="52" ht="14.5"/>
    <row r="53" ht="14.5"/>
    <row r="54" ht="14.5"/>
    <row r="55" ht="14.5"/>
    <row r="56" ht="14.5"/>
    <row r="57" ht="14.5"/>
    <row r="58" ht="14.5"/>
    <row r="59" ht="14.5"/>
    <row r="60" ht="14.5"/>
    <row r="61" ht="14.5"/>
    <row r="62" ht="14.5"/>
    <row r="63" ht="14.5"/>
    <row r="64" ht="14.5"/>
    <row r="65" ht="14.5"/>
    <row r="66" ht="14.5"/>
    <row r="67" ht="14.5"/>
    <row r="68" ht="14.5"/>
    <row r="69" ht="14.5"/>
    <row r="70" ht="14.5"/>
    <row r="71" ht="14.5"/>
    <row r="72" ht="14.5"/>
    <row r="73" ht="14.5"/>
    <row r="74" ht="14.5"/>
    <row r="75" ht="14.5"/>
    <row r="76" ht="14.5"/>
    <row r="77" ht="14.5"/>
    <row r="78" ht="14.5"/>
    <row r="79" ht="14.5"/>
    <row r="80" ht="14.5"/>
    <row r="81" ht="14.5"/>
    <row r="82" ht="14.5"/>
    <row r="83" ht="14.5"/>
    <row r="84" ht="14.5"/>
    <row r="85" ht="14.5"/>
    <row r="86" ht="14.5"/>
    <row r="87" ht="14.5"/>
    <row r="88" ht="14.5"/>
    <row r="89" ht="14.5"/>
    <row r="90" ht="14.5"/>
    <row r="91" ht="14.5"/>
    <row r="92" ht="14.5"/>
    <row r="93" ht="14.5"/>
    <row r="94" ht="14.5"/>
    <row r="95" ht="14.5"/>
    <row r="96" ht="14.5"/>
    <row r="97" ht="14.5"/>
    <row r="98" ht="14.5"/>
    <row r="99" ht="14.5"/>
    <row r="100" ht="14.5"/>
    <row r="101" ht="14.5"/>
    <row r="102" ht="14.5"/>
    <row r="103" ht="14.5"/>
    <row r="104" ht="14.5"/>
    <row r="105" ht="14.5"/>
    <row r="106" ht="14.5"/>
    <row r="107" ht="14.5"/>
    <row r="108" ht="14.5"/>
    <row r="109" ht="14.5"/>
    <row r="110" ht="14.5"/>
    <row r="111" ht="14.5"/>
    <row r="112" ht="14.5"/>
    <row r="113" ht="14.5"/>
    <row r="114" ht="14.5"/>
    <row r="115" ht="14.5"/>
    <row r="116" ht="14.5"/>
    <row r="117" ht="14.5"/>
    <row r="118" ht="14.5"/>
    <row r="119" ht="14.5"/>
    <row r="120" ht="14.5"/>
    <row r="121" ht="14.5"/>
    <row r="122" ht="14.5"/>
    <row r="123" ht="14.5"/>
    <row r="124" ht="14.5"/>
    <row r="125" ht="14.5"/>
    <row r="126" ht="14.5"/>
    <row r="127" ht="14.5"/>
    <row r="128" ht="14.5"/>
    <row r="129" ht="14.5"/>
    <row r="130" ht="14.5"/>
    <row r="131" ht="14.5"/>
    <row r="132" ht="14.5"/>
    <row r="133" ht="14.5"/>
    <row r="134" ht="14.5"/>
    <row r="135" ht="14.5"/>
    <row r="136" ht="14.5"/>
    <row r="137" ht="14.5"/>
    <row r="138" ht="14.5"/>
    <row r="139" ht="14.5"/>
    <row r="140" ht="14.5"/>
    <row r="141" ht="14.5"/>
    <row r="142" ht="14.5"/>
    <row r="143" ht="14.5"/>
    <row r="144" ht="14.5"/>
    <row r="145" ht="14.5"/>
    <row r="146" ht="14.5"/>
    <row r="147" ht="14.5"/>
    <row r="148" ht="14.5"/>
    <row r="149" ht="14.5"/>
    <row r="150" ht="14.5"/>
    <row r="151" ht="14.5"/>
    <row r="152" ht="14.5"/>
    <row r="153" ht="14.5"/>
    <row r="154" ht="14.5"/>
    <row r="155" ht="14.5"/>
    <row r="156" ht="14.5"/>
    <row r="157" ht="14.5"/>
    <row r="158" ht="14.5"/>
    <row r="159" ht="14.5"/>
    <row r="160" ht="15" customHeight="1"/>
    <row r="161" ht="15" customHeight="1"/>
    <row r="162" ht="15" customHeight="1"/>
    <row r="163" ht="15" customHeight="1"/>
    <row r="164" ht="15" customHeight="1"/>
  </sheetData>
  <sheetProtection algorithmName="SHA-512" hashValue="O0nBt1Z8hzY2dT2DTLAD5mT1mcJkPqFPocTNpYbmAYspZymZWoeHImOuFOuFwzztoErsRatti2GFnXYlk1XsWw==" saltValue="DCmEVZHwDU5PLBlwRIKjxA==" spinCount="100000" sheet="1" selectLockedCells="1"/>
  <mergeCells count="38">
    <mergeCell ref="B41:O42"/>
    <mergeCell ref="B8:C8"/>
    <mergeCell ref="B4:C4"/>
    <mergeCell ref="B5:C5"/>
    <mergeCell ref="B6:C6"/>
    <mergeCell ref="B7:C7"/>
    <mergeCell ref="B20:C20"/>
    <mergeCell ref="B9:C9"/>
    <mergeCell ref="B10:C10"/>
    <mergeCell ref="B11:C11"/>
    <mergeCell ref="B12:C12"/>
    <mergeCell ref="B13:C13"/>
    <mergeCell ref="B14:C14"/>
    <mergeCell ref="B15:C15"/>
    <mergeCell ref="B16:C16"/>
    <mergeCell ref="B17:C17"/>
    <mergeCell ref="B18:C18"/>
    <mergeCell ref="B19:C19"/>
    <mergeCell ref="B21:C21"/>
    <mergeCell ref="B22:C22"/>
    <mergeCell ref="B23:C23"/>
    <mergeCell ref="Q30:AI30"/>
    <mergeCell ref="X35:AA35"/>
    <mergeCell ref="AB35:AC35"/>
    <mergeCell ref="AE35:AH35"/>
    <mergeCell ref="B26:C26"/>
    <mergeCell ref="B28:C28"/>
    <mergeCell ref="AC40:AH40"/>
    <mergeCell ref="AC41:AH41"/>
    <mergeCell ref="AC42:AH42"/>
    <mergeCell ref="AC39:AH39"/>
    <mergeCell ref="AJ31:AK31"/>
    <mergeCell ref="Q37:AI37"/>
    <mergeCell ref="X32:AA32"/>
    <mergeCell ref="AB32:AC32"/>
    <mergeCell ref="AE32:AH32"/>
    <mergeCell ref="Q33:AI33"/>
    <mergeCell ref="Q31:AI31"/>
  </mergeCells>
  <conditionalFormatting sqref="D4:AH23">
    <cfRule type="expression" dxfId="80" priority="31">
      <formula>D$2</formula>
    </cfRule>
  </conditionalFormatting>
  <conditionalFormatting sqref="J4:J22">
    <cfRule type="expression" dxfId="79" priority="32">
      <formula>J$2</formula>
    </cfRule>
  </conditionalFormatting>
  <conditionalFormatting sqref="D3:AH3">
    <cfRule type="expression" dxfId="78" priority="30">
      <formula>MATCH(D3,INDIRECT("Fixed_weekdays[DateInYear]"),0)&gt;0</formula>
    </cfRule>
  </conditionalFormatting>
  <conditionalFormatting sqref="D3:AH3">
    <cfRule type="expression" dxfId="77" priority="29">
      <formula>MATCH(D3,INDIRECT("Fixed_dates[DateInYear]"),0)&gt;0</formula>
    </cfRule>
  </conditionalFormatting>
  <conditionalFormatting sqref="D3:AH3">
    <cfRule type="expression" dxfId="76" priority="28">
      <formula>AND(INDEX(INDIRECT("Shortened[WorkHours]"),MATCH(D3,INDIRECT("Shortened[DateInYear]"),0),0)&gt;0,INDEX(INDIRECT("Shortened[WorkHours]"),MATCH(D3,INDIRECT("Shortened[DateInYear]"),0),0)&lt;8)</formula>
    </cfRule>
  </conditionalFormatting>
  <conditionalFormatting sqref="D3:AH3">
    <cfRule type="expression" dxfId="75" priority="27">
      <formula>AND(INDEX(INDIRECT("Clamp[WorkHours]"),MATCH(C3,INDIRECT("Clamp[DateInYear]"),0),0)&gt;0,INDEX(INDIRECT("Clamp[WorkHours]"),MATCH(C3,INDIRECT("Clamp[DateInYear]"),0),0)&lt;8)</formula>
    </cfRule>
  </conditionalFormatting>
  <conditionalFormatting sqref="D3:AH3">
    <cfRule type="expression" dxfId="74" priority="25">
      <formula>INDEX(INDIRECT("Shortened[WorkHours]"),MATCH(D3,INDIRECT("Shortened[DateInYear]"),0),0)&gt;7</formula>
    </cfRule>
    <cfRule type="expression" dxfId="73" priority="26">
      <formula>INDEX(INDIRECT("Clamp[WorkHours]"),MATCH(D3,INDIRECT("Clamp[DateInYear]"),0),0)&gt;7</formula>
    </cfRule>
  </conditionalFormatting>
  <conditionalFormatting sqref="D3:AH3">
    <cfRule type="expression" dxfId="72" priority="24">
      <formula>OR(WEEKDAY(D3,2)=6,WEEKDAY(D3,2)=7)</formula>
    </cfRule>
  </conditionalFormatting>
  <conditionalFormatting sqref="J18:J22">
    <cfRule type="expression" dxfId="71" priority="23">
      <formula>J$2</formula>
    </cfRule>
  </conditionalFormatting>
  <conditionalFormatting sqref="B4:C22">
    <cfRule type="containsText" dxfId="70" priority="15" operator="containsText" text="Other US">
      <formula>NOT(ISERROR(SEARCH("Other US",B4)))</formula>
    </cfRule>
    <cfRule type="containsText" dxfId="69" priority="16" operator="containsText" text="US Army">
      <formula>NOT(ISERROR(SEARCH("US Army",B4)))</formula>
    </cfRule>
    <cfRule type="containsText" dxfId="68" priority="18" operator="containsText" text="NIH">
      <formula>NOT(ISERROR(SEARCH("NIH",B4)))</formula>
    </cfRule>
    <cfRule type="containsText" dxfId="67" priority="19" operator="containsText" text="FP7">
      <formula>NOT(ISERROR(SEARCH("FP7",B4)))</formula>
    </cfRule>
    <cfRule type="containsText" dxfId="66" priority="20" operator="containsText" text="H2020">
      <formula>NOT(ISERROR(SEARCH("H2020",B4)))</formula>
    </cfRule>
    <cfRule type="containsText" dxfId="65" priority="21" operator="containsText" text="Sida">
      <formula>NOT(ISERROR(SEARCH("Sida",B4)))</formula>
    </cfRule>
    <cfRule type="containsText" dxfId="64" priority="22" operator="containsText" text="Other">
      <formula>NOT(ISERROR(SEARCH("Other",B4)))</formula>
    </cfRule>
  </conditionalFormatting>
  <conditionalFormatting sqref="D25:AH25">
    <cfRule type="iconSet" priority="10">
      <iconSet iconSet="3Flags">
        <cfvo type="percent" val="0"/>
        <cfvo type="percent" val="33"/>
        <cfvo type="percent" val="67"/>
      </iconSet>
    </cfRule>
  </conditionalFormatting>
  <conditionalFormatting sqref="D25:AH25">
    <cfRule type="iconSet" priority="9">
      <iconSet iconSet="3Flags">
        <cfvo type="percent" val="0"/>
        <cfvo type="percent" val="33"/>
        <cfvo type="percent" val="67"/>
      </iconSet>
    </cfRule>
  </conditionalFormatting>
  <conditionalFormatting sqref="AJ31">
    <cfRule type="expression" dxfId="63" priority="5">
      <formula>AK$2</formula>
    </cfRule>
  </conditionalFormatting>
  <conditionalFormatting sqref="D26:AH26">
    <cfRule type="cellIs" dxfId="62" priority="1" operator="greaterThan">
      <formula>24</formula>
    </cfRule>
    <cfRule type="cellIs" dxfId="61" priority="2" operator="greaterThan">
      <formula>14</formula>
    </cfRule>
  </conditionalFormatting>
  <dataValidations count="1">
    <dataValidation type="decimal" allowBlank="1" showInputMessage="1" showErrorMessage="1" errorTitle="ERROR !" error="You may report min 0,5 and max 24 hrs per WP or Project" sqref="D4:AH23" xr:uid="{00000000-0002-0000-0D00-000000000000}">
      <formula1>0.5</formula1>
      <formula2>24</formula2>
    </dataValidation>
  </dataValidations>
  <printOptions horizontalCentered="1" verticalCentered="1"/>
  <pageMargins left="0.7" right="0.7" top="1.2072916666666667" bottom="0.75" header="0.45652173913043476" footer="0.3"/>
  <pageSetup paperSize="9" scale="50" orientation="landscape" r:id="rId1"/>
  <headerFooter>
    <oddHeader>&amp;L&amp;G&amp;C&amp;24TIMESHEET</oddHeader>
  </headerFooter>
  <legacyDrawingHF r:id="rId2"/>
  <extLst>
    <ext xmlns:x14="http://schemas.microsoft.com/office/spreadsheetml/2009/9/main" uri="{78C0D931-6437-407d-A8EE-F0AAD7539E65}">
      <x14:conditionalFormattings>
        <x14:conditionalFormatting xmlns:xm="http://schemas.microsoft.com/office/excel/2006/main">
          <x14:cfRule type="containsText" priority="17" operator="containsText" id="{7290C796-CEE5-45ED-A398-43663A3CCD2E}">
            <xm:f>NOT(ISERROR(SEARCH("Non-project",B4)))</xm:f>
            <xm:f>"Non-project"</xm:f>
            <x14:dxf>
              <fill>
                <patternFill>
                  <bgColor theme="6" tint="0.59996337778862885"/>
                </patternFill>
              </fill>
            </x14:dxf>
          </x14:cfRule>
          <xm:sqref>B4:C22</xm:sqref>
        </x14:conditionalFormatting>
        <x14:conditionalFormatting xmlns:xm="http://schemas.microsoft.com/office/excel/2006/main">
          <x14:cfRule type="iconSet" priority="8" id="{9D94013E-89F1-4442-A323-F1166B04DD8E}">
            <x14:iconSet iconSet="3Flags" showValue="0" custom="1">
              <x14:cfvo type="percent">
                <xm:f>0</xm:f>
              </x14:cfvo>
              <x14:cfvo type="num" gte="0">
                <xm:f>14</xm:f>
              </x14:cfvo>
              <x14:cfvo type="num" gte="0">
                <xm:f>24</xm:f>
              </x14:cfvo>
              <x14:cfIcon iconSet="NoIcons" iconId="0"/>
              <x14:cfIcon iconSet="3Flags" iconId="1"/>
              <x14:cfIcon iconSet="3Flags" iconId="0"/>
            </x14:iconSet>
          </x14:cfRule>
          <xm:sqref>D25:AH25</xm:sqref>
        </x14:conditionalFormatting>
        <x14:conditionalFormatting xmlns:xm="http://schemas.microsoft.com/office/excel/2006/main">
          <x14:cfRule type="iconSet" priority="4" id="{B30B6CA7-C995-4C47-BA5E-B5A6A4DDEE27}">
            <x14:iconSet iconSet="3Flags" showValue="0" custom="1">
              <x14:cfvo type="percent">
                <xm:f>0</xm:f>
              </x14:cfvo>
              <x14:cfvo type="num">
                <xm:f>0</xm:f>
              </x14:cfvo>
              <x14:cfvo type="num" gte="0">
                <xm:f>0</xm:f>
              </x14:cfvo>
              <x14:cfIcon iconSet="NoIcons" iconId="0"/>
              <x14:cfIcon iconSet="NoIcons" iconId="0"/>
              <x14:cfIcon iconSet="3Flags" iconId="1"/>
            </x14:iconSet>
          </x14:cfRule>
          <xm:sqref>AJ32</xm:sqref>
        </x14:conditionalFormatting>
        <x14:conditionalFormatting xmlns:xm="http://schemas.microsoft.com/office/excel/2006/main">
          <x14:cfRule type="iconSet" priority="3" id="{EBCDC5A0-6B49-4BF6-9E34-2957EA00E5BF}">
            <x14:iconSet iconSet="3Flags" showValue="0" custom="1">
              <x14:cfvo type="percent">
                <xm:f>0</xm:f>
              </x14:cfvo>
              <x14:cfvo type="num">
                <xm:f>0</xm:f>
              </x14:cfvo>
              <x14:cfvo type="num" gte="0">
                <xm:f>0</xm:f>
              </x14:cfvo>
              <x14:cfIcon iconSet="NoIcons" iconId="0"/>
              <x14:cfIcon iconSet="NoIcons" iconId="0"/>
              <x14:cfIcon iconSet="3Flags" iconId="0"/>
            </x14:iconSet>
          </x14:cfRule>
          <xm:sqref>AJ33</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Blad12">
    <tabColor theme="5" tint="-0.249977111117893"/>
    <pageSetUpPr fitToPage="1"/>
  </sheetPr>
  <dimension ref="B1:AP164"/>
  <sheetViews>
    <sheetView showGridLines="0" showZeros="0" zoomScale="40" zoomScaleNormal="40" zoomScaleSheetLayoutView="55" zoomScalePageLayoutView="110" workbookViewId="0">
      <selection activeCell="D4" sqref="D4"/>
    </sheetView>
  </sheetViews>
  <sheetFormatPr defaultColWidth="0" defaultRowHeight="15" customHeight="1" zeroHeight="1"/>
  <cols>
    <col min="1" max="1" width="1.54296875" style="12" customWidth="1"/>
    <col min="2" max="3" width="25.7265625" style="12" customWidth="1"/>
    <col min="4" max="33" width="5.26953125" style="12" customWidth="1"/>
    <col min="34" max="34" width="5.26953125" style="12" hidden="1" customWidth="1"/>
    <col min="35" max="35" width="8.26953125" style="12" customWidth="1"/>
    <col min="36" max="36" width="8.1796875" style="12" bestFit="1" customWidth="1"/>
    <col min="37" max="37" width="29.453125" style="12" customWidth="1"/>
    <col min="38" max="38" width="5.26953125" style="118" customWidth="1"/>
    <col min="39" max="16383" width="9.1796875" style="12" customWidth="1"/>
    <col min="16384" max="16384" width="2.1796875" style="12" customWidth="1"/>
  </cols>
  <sheetData>
    <row r="1" spans="2:38" ht="21">
      <c r="B1" s="96" t="s">
        <v>84</v>
      </c>
      <c r="C1" s="96">
        <f>Year</f>
        <v>2021</v>
      </c>
      <c r="D1" s="97"/>
      <c r="E1" s="97"/>
      <c r="F1" s="97"/>
      <c r="G1" s="97"/>
      <c r="H1" s="97"/>
      <c r="I1" s="97"/>
      <c r="J1" s="97"/>
      <c r="K1" s="97"/>
      <c r="L1" s="97"/>
      <c r="M1" s="97"/>
      <c r="N1" s="114"/>
      <c r="O1" s="97"/>
      <c r="P1" s="98" t="s">
        <v>6</v>
      </c>
      <c r="Q1" s="99">
        <f>Member</f>
        <v>0</v>
      </c>
      <c r="R1" s="97"/>
      <c r="S1" s="48"/>
      <c r="T1" s="48"/>
      <c r="U1" s="48"/>
      <c r="V1" s="48"/>
      <c r="W1" s="48"/>
      <c r="X1" s="48"/>
      <c r="Y1" s="48"/>
      <c r="Z1" s="48"/>
      <c r="AA1" s="48"/>
      <c r="AB1" s="48"/>
      <c r="AC1" s="115"/>
      <c r="AD1" s="48"/>
      <c r="AE1" s="34"/>
      <c r="AF1" s="48"/>
      <c r="AG1" s="48"/>
      <c r="AH1" s="48"/>
      <c r="AI1" s="34"/>
      <c r="AJ1" s="34"/>
    </row>
    <row r="2" spans="2:38" ht="12.75" customHeight="1">
      <c r="B2" s="36"/>
      <c r="C2" s="50">
        <f>C39</f>
        <v>39</v>
      </c>
      <c r="D2" s="50" t="b">
        <f ca="1">OR(OR(WEEKDAY(D3,2)=6,WEEKDAY(D3,2)=7),IFERROR(INDEX(INDIRECT("Shortened[WorkHours]"),MATCH(D3,INDIRECT("Shortened[DateInYear]"),0),0),0)&gt;7,IFERROR(INDEX(INDIRECT("Clamp[WorkHours]"),MATCH(D3,INDIRECT("Clamp[DateInYear]"),0),0),0)&gt;7,IFERROR(MATCH(D3,INDIRECT("Fixed_dates[DateInYear]"),0),0)&gt;0,IFERROR(MATCH(D3,INDIRECT("Fixed_weekdays[DateInYear]"),0),0)&gt;0)</f>
        <v>0</v>
      </c>
      <c r="E2" s="50" t="b">
        <f t="shared" ref="E2:AH2" ca="1" si="0">OR(OR(WEEKDAY(E3,2)=6,WEEKDAY(E3,2)=7),IFERROR(INDEX(INDIRECT("Shortened[WorkHours]"),MATCH(E3,INDIRECT("Shortened[DateInYear]"),0),0),0)&gt;7,IFERROR(INDEX(INDIRECT("Clamp[WorkHours]"),MATCH(E3,INDIRECT("Clamp[DateInYear]"),0),0),0)&gt;7,IFERROR(MATCH(E3,INDIRECT("Fixed_dates[DateInYear]"),0),0)&gt;0,IFERROR(MATCH(E3,INDIRECT("Fixed_weekdays[DateInYear]"),0),0)&gt;0)</f>
        <v>0</v>
      </c>
      <c r="F2" s="50" t="b">
        <f t="shared" ca="1" si="0"/>
        <v>0</v>
      </c>
      <c r="G2" s="50" t="b">
        <f t="shared" ca="1" si="0"/>
        <v>0</v>
      </c>
      <c r="H2" s="50" t="b">
        <f t="shared" ca="1" si="0"/>
        <v>1</v>
      </c>
      <c r="I2" s="50" t="b">
        <f t="shared" ca="1" si="0"/>
        <v>1</v>
      </c>
      <c r="J2" s="50" t="b">
        <f t="shared" ca="1" si="0"/>
        <v>1</v>
      </c>
      <c r="K2" s="50" t="b">
        <f t="shared" ca="1" si="0"/>
        <v>0</v>
      </c>
      <c r="L2" s="50" t="b">
        <f t="shared" ca="1" si="0"/>
        <v>0</v>
      </c>
      <c r="M2" s="50" t="b">
        <f t="shared" ca="1" si="0"/>
        <v>0</v>
      </c>
      <c r="N2" s="50" t="b">
        <f t="shared" ca="1" si="0"/>
        <v>0</v>
      </c>
      <c r="O2" s="50" t="b">
        <f t="shared" ca="1" si="0"/>
        <v>0</v>
      </c>
      <c r="P2" s="50" t="b">
        <f t="shared" ca="1" si="0"/>
        <v>1</v>
      </c>
      <c r="Q2" s="50" t="b">
        <f t="shared" ca="1" si="0"/>
        <v>1</v>
      </c>
      <c r="R2" s="116" t="b">
        <f t="shared" ca="1" si="0"/>
        <v>0</v>
      </c>
      <c r="S2" s="50" t="b">
        <f t="shared" ca="1" si="0"/>
        <v>0</v>
      </c>
      <c r="T2" s="50" t="b">
        <f t="shared" ca="1" si="0"/>
        <v>0</v>
      </c>
      <c r="U2" s="50" t="b">
        <f t="shared" ca="1" si="0"/>
        <v>0</v>
      </c>
      <c r="V2" s="50" t="b">
        <f t="shared" ca="1" si="0"/>
        <v>0</v>
      </c>
      <c r="W2" s="50" t="b">
        <f t="shared" ca="1" si="0"/>
        <v>1</v>
      </c>
      <c r="X2" s="50" t="b">
        <f t="shared" ca="1" si="0"/>
        <v>1</v>
      </c>
      <c r="Y2" s="50" t="b">
        <f t="shared" ca="1" si="0"/>
        <v>0</v>
      </c>
      <c r="Z2" s="50" t="b">
        <f t="shared" ca="1" si="0"/>
        <v>0</v>
      </c>
      <c r="AA2" s="50" t="b">
        <f t="shared" ca="1" si="0"/>
        <v>0</v>
      </c>
      <c r="AB2" s="50" t="b">
        <f t="shared" ca="1" si="0"/>
        <v>0</v>
      </c>
      <c r="AC2" s="50" t="b">
        <f t="shared" ca="1" si="0"/>
        <v>0</v>
      </c>
      <c r="AD2" s="50" t="b">
        <f t="shared" ca="1" si="0"/>
        <v>1</v>
      </c>
      <c r="AE2" s="50" t="b">
        <f t="shared" ca="1" si="0"/>
        <v>1</v>
      </c>
      <c r="AF2" s="50" t="b">
        <f ca="1">OR(OR(WEEKDAY(AF3,2)=6,WEEKDAY(AF3,2)=7),IFERROR(INDEX(INDIRECT("Shortened[WorkHours]"),MATCH(AF3,INDIRECT("Shortened[DateInYear]"),0),0),0)&gt;7,IFERROR(INDEX(INDIRECT("Clamp[WorkHours]"),MATCH(AF3,INDIRECT("Clamp[DateInYear]"),0),0),0)&gt;7,IFERROR(MATCH(AF3,INDIRECT("Fixed_dates[DateInYear]"),0),0)&gt;0,IFERROR(MATCH(AF3,INDIRECT("Fixed_weekdays[DateInYear]"),0),0)&gt;0)</f>
        <v>0</v>
      </c>
      <c r="AG2" s="50" t="b">
        <f t="shared" ca="1" si="0"/>
        <v>0</v>
      </c>
      <c r="AH2" s="50" t="b">
        <f t="shared" ca="1" si="0"/>
        <v>0</v>
      </c>
      <c r="AI2" s="100"/>
      <c r="AJ2" s="117"/>
    </row>
    <row r="3" spans="2:38" ht="17.149999999999999" customHeight="1">
      <c r="B3" s="85" t="s">
        <v>74</v>
      </c>
      <c r="C3" s="86"/>
      <c r="D3" s="87">
        <f>DATEVALUE(AloxÅr&amp;"-"&amp;VLOOKUP(LEFT(B1,3),Holidays!$M$4:$N$15,2,0)&amp;"-1")</f>
        <v>44501</v>
      </c>
      <c r="E3" s="87">
        <f>DATE(YEAR(D3),MONTH(D3),DAY(D3)+1)</f>
        <v>44502</v>
      </c>
      <c r="F3" s="87">
        <f t="shared" ref="F3:AH3" si="1">DATE(YEAR(E3),MONTH(E3),DAY(E3)+1)</f>
        <v>44503</v>
      </c>
      <c r="G3" s="87">
        <f t="shared" si="1"/>
        <v>44504</v>
      </c>
      <c r="H3" s="87">
        <f t="shared" si="1"/>
        <v>44505</v>
      </c>
      <c r="I3" s="87">
        <f t="shared" si="1"/>
        <v>44506</v>
      </c>
      <c r="J3" s="87">
        <f t="shared" si="1"/>
        <v>44507</v>
      </c>
      <c r="K3" s="87">
        <f t="shared" si="1"/>
        <v>44508</v>
      </c>
      <c r="L3" s="87">
        <f t="shared" si="1"/>
        <v>44509</v>
      </c>
      <c r="M3" s="87">
        <f t="shared" si="1"/>
        <v>44510</v>
      </c>
      <c r="N3" s="87">
        <f t="shared" si="1"/>
        <v>44511</v>
      </c>
      <c r="O3" s="87">
        <f t="shared" si="1"/>
        <v>44512</v>
      </c>
      <c r="P3" s="87">
        <f t="shared" si="1"/>
        <v>44513</v>
      </c>
      <c r="Q3" s="87">
        <f t="shared" si="1"/>
        <v>44514</v>
      </c>
      <c r="R3" s="87">
        <f t="shared" si="1"/>
        <v>44515</v>
      </c>
      <c r="S3" s="87">
        <f t="shared" si="1"/>
        <v>44516</v>
      </c>
      <c r="T3" s="87">
        <f t="shared" si="1"/>
        <v>44517</v>
      </c>
      <c r="U3" s="87">
        <f t="shared" si="1"/>
        <v>44518</v>
      </c>
      <c r="V3" s="87">
        <f t="shared" si="1"/>
        <v>44519</v>
      </c>
      <c r="W3" s="87">
        <f t="shared" si="1"/>
        <v>44520</v>
      </c>
      <c r="X3" s="87">
        <f t="shared" si="1"/>
        <v>44521</v>
      </c>
      <c r="Y3" s="87">
        <f t="shared" si="1"/>
        <v>44522</v>
      </c>
      <c r="Z3" s="87">
        <f t="shared" si="1"/>
        <v>44523</v>
      </c>
      <c r="AA3" s="87">
        <f t="shared" si="1"/>
        <v>44524</v>
      </c>
      <c r="AB3" s="87">
        <f t="shared" si="1"/>
        <v>44525</v>
      </c>
      <c r="AC3" s="87">
        <f t="shared" si="1"/>
        <v>44526</v>
      </c>
      <c r="AD3" s="87">
        <f t="shared" si="1"/>
        <v>44527</v>
      </c>
      <c r="AE3" s="87">
        <f t="shared" si="1"/>
        <v>44528</v>
      </c>
      <c r="AF3" s="87">
        <f t="shared" si="1"/>
        <v>44529</v>
      </c>
      <c r="AG3" s="87">
        <f t="shared" si="1"/>
        <v>44530</v>
      </c>
      <c r="AH3" s="87">
        <f t="shared" si="1"/>
        <v>44531</v>
      </c>
      <c r="AI3" s="113" t="s">
        <v>3</v>
      </c>
      <c r="AJ3" s="113" t="s">
        <v>97</v>
      </c>
      <c r="AK3" s="183" t="s">
        <v>213</v>
      </c>
    </row>
    <row r="4" spans="2:38" s="64" customFormat="1" ht="17.149999999999999" customHeight="1">
      <c r="B4" s="327" t="str">
        <f>IFERROR(Project.01&amp;" "&amp;WP.01&amp;" "&amp;Contract.01&amp;" "&amp;Type.01&amp;" "&amp;Activity.01," ")</f>
        <v xml:space="preserve">    </v>
      </c>
      <c r="C4" s="327"/>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191"/>
      <c r="AI4" s="89">
        <f>SUM(D4:AG4)</f>
        <v>0</v>
      </c>
      <c r="AJ4" s="111" t="str">
        <f t="shared" ref="AJ4:AJ23" si="2">IFERROR(AI4/$AI$26,"")</f>
        <v/>
      </c>
      <c r="AK4" s="188"/>
      <c r="AL4" s="119"/>
    </row>
    <row r="5" spans="2:38" s="64" customFormat="1" ht="17.149999999999999" customHeight="1">
      <c r="B5" s="327" t="str">
        <f>IFERROR(Project.02&amp;" "&amp;WP.02&amp;" "&amp;Contract.02&amp;" "&amp;Type.02&amp;" "&amp;Activity.02," ")</f>
        <v xml:space="preserve">    </v>
      </c>
      <c r="C5" s="327"/>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191"/>
      <c r="AI5" s="89">
        <f t="shared" ref="AI5:AI23" si="3">SUM(D5:AG5)</f>
        <v>0</v>
      </c>
      <c r="AJ5" s="111" t="str">
        <f t="shared" si="2"/>
        <v/>
      </c>
      <c r="AK5" s="188"/>
      <c r="AL5" s="119"/>
    </row>
    <row r="6" spans="2:38" s="64" customFormat="1" ht="17.149999999999999" customHeight="1">
      <c r="B6" s="327" t="str">
        <f>IFERROR(Project.03&amp;" "&amp;WP.03&amp;" "&amp;Contract.03&amp;" "&amp;Type.03&amp;" "&amp;Activity.03," ")</f>
        <v xml:space="preserve">    </v>
      </c>
      <c r="C6" s="327"/>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191"/>
      <c r="AI6" s="89">
        <f t="shared" si="3"/>
        <v>0</v>
      </c>
      <c r="AJ6" s="111" t="str">
        <f t="shared" si="2"/>
        <v/>
      </c>
      <c r="AK6" s="188"/>
      <c r="AL6" s="119"/>
    </row>
    <row r="7" spans="2:38" s="64" customFormat="1" ht="17.149999999999999" customHeight="1">
      <c r="B7" s="327" t="str">
        <f>IFERROR(Project.04&amp;" "&amp;WP.04&amp;" "&amp;Contract.04&amp;" "&amp;Type.04&amp;" "&amp;Activity.04," ")</f>
        <v xml:space="preserve">    </v>
      </c>
      <c r="C7" s="327"/>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191"/>
      <c r="AI7" s="89">
        <f t="shared" si="3"/>
        <v>0</v>
      </c>
      <c r="AJ7" s="111" t="str">
        <f t="shared" si="2"/>
        <v/>
      </c>
      <c r="AK7" s="188"/>
      <c r="AL7" s="119"/>
    </row>
    <row r="8" spans="2:38" s="64" customFormat="1" ht="17.149999999999999" customHeight="1">
      <c r="B8" s="327" t="str">
        <f>IFERROR(Project.05&amp;" "&amp;WP.05&amp;" "&amp;Contract.05&amp;" "&amp;Type.05&amp;" "&amp;Activity.05," ")</f>
        <v xml:space="preserve">    </v>
      </c>
      <c r="C8" s="327"/>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191"/>
      <c r="AI8" s="89">
        <f t="shared" si="3"/>
        <v>0</v>
      </c>
      <c r="AJ8" s="111" t="str">
        <f t="shared" si="2"/>
        <v/>
      </c>
      <c r="AK8" s="188"/>
      <c r="AL8" s="119"/>
    </row>
    <row r="9" spans="2:38" s="64" customFormat="1" ht="17.149999999999999" customHeight="1">
      <c r="B9" s="327" t="str">
        <f>IFERROR(Project.06&amp;" "&amp;WP.06&amp;" "&amp;Contract.06&amp;" "&amp;Type.06&amp;" "&amp;Activity.06," ")</f>
        <v xml:space="preserve">    </v>
      </c>
      <c r="C9" s="327"/>
      <c r="D9" s="88"/>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191"/>
      <c r="AI9" s="89">
        <f t="shared" si="3"/>
        <v>0</v>
      </c>
      <c r="AJ9" s="111" t="str">
        <f t="shared" si="2"/>
        <v/>
      </c>
      <c r="AK9" s="188"/>
      <c r="AL9" s="119"/>
    </row>
    <row r="10" spans="2:38" s="64" customFormat="1" ht="17.149999999999999" customHeight="1">
      <c r="B10" s="327" t="str">
        <f>IFERROR(Project.07&amp;" "&amp;WP.07&amp;" "&amp;Contract.07&amp;" "&amp;Type.07&amp;" "&amp;Activity.07," ")</f>
        <v xml:space="preserve">    </v>
      </c>
      <c r="C10" s="327"/>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191"/>
      <c r="AI10" s="89">
        <f t="shared" si="3"/>
        <v>0</v>
      </c>
      <c r="AJ10" s="111" t="str">
        <f t="shared" si="2"/>
        <v/>
      </c>
      <c r="AK10" s="188"/>
      <c r="AL10" s="119"/>
    </row>
    <row r="11" spans="2:38" s="64" customFormat="1" ht="17.149999999999999" customHeight="1">
      <c r="B11" s="327" t="str">
        <f>IFERROR(Project.08&amp;" "&amp;WP.08&amp;" "&amp;Contract.08&amp;" "&amp;Type.08&amp;" "&amp;Activity.08," ")</f>
        <v xml:space="preserve">    </v>
      </c>
      <c r="C11" s="327"/>
      <c r="D11" s="88"/>
      <c r="E11" s="88"/>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191"/>
      <c r="AI11" s="89">
        <f t="shared" si="3"/>
        <v>0</v>
      </c>
      <c r="AJ11" s="111" t="str">
        <f t="shared" si="2"/>
        <v/>
      </c>
      <c r="AK11" s="188"/>
      <c r="AL11" s="119"/>
    </row>
    <row r="12" spans="2:38" s="64" customFormat="1" ht="17.149999999999999" customHeight="1">
      <c r="B12" s="327" t="str">
        <f>(Project.09&amp;" "&amp;WP.09&amp;" "&amp;Contract.09&amp;" "&amp;Type.09&amp;" "&amp;Activity.09)</f>
        <v xml:space="preserve">    </v>
      </c>
      <c r="C12" s="327"/>
      <c r="D12" s="88"/>
      <c r="E12" s="88"/>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191"/>
      <c r="AI12" s="89">
        <f t="shared" si="3"/>
        <v>0</v>
      </c>
      <c r="AJ12" s="111" t="str">
        <f t="shared" si="2"/>
        <v/>
      </c>
      <c r="AK12" s="188"/>
      <c r="AL12" s="119"/>
    </row>
    <row r="13" spans="2:38" s="64" customFormat="1" ht="17.149999999999999" customHeight="1">
      <c r="B13" s="327" t="str">
        <f>IFERROR(Project.10&amp;" "&amp;WP.10&amp;" "&amp;Contract.10&amp;" "&amp;Type.10&amp;" "&amp;Activity.10," ")</f>
        <v xml:space="preserve">    </v>
      </c>
      <c r="C13" s="327"/>
      <c r="D13" s="88"/>
      <c r="E13" s="88"/>
      <c r="F13" s="88"/>
      <c r="G13" s="88"/>
      <c r="H13" s="88"/>
      <c r="I13" s="88"/>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191"/>
      <c r="AI13" s="89">
        <f t="shared" si="3"/>
        <v>0</v>
      </c>
      <c r="AJ13" s="111" t="str">
        <f t="shared" si="2"/>
        <v/>
      </c>
      <c r="AK13" s="188"/>
      <c r="AL13" s="119"/>
    </row>
    <row r="14" spans="2:38" s="64" customFormat="1" ht="17.149999999999999" customHeight="1">
      <c r="B14" s="327" t="str">
        <f>IFERROR(Project.11&amp;" "&amp;WP.11&amp;" "&amp;Contract.11&amp;" "&amp;Type.11&amp;" "&amp;Activity.11," ")</f>
        <v xml:space="preserve">    </v>
      </c>
      <c r="C14" s="327"/>
      <c r="D14" s="88"/>
      <c r="E14" s="88"/>
      <c r="F14" s="88"/>
      <c r="G14" s="88"/>
      <c r="H14" s="88"/>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191"/>
      <c r="AI14" s="89">
        <f t="shared" si="3"/>
        <v>0</v>
      </c>
      <c r="AJ14" s="111" t="str">
        <f t="shared" si="2"/>
        <v/>
      </c>
      <c r="AK14" s="188"/>
      <c r="AL14" s="119"/>
    </row>
    <row r="15" spans="2:38" s="64" customFormat="1" ht="17.149999999999999" customHeight="1">
      <c r="B15" s="327" t="str">
        <f>IFERROR(Project.12&amp;" "&amp;WP.12&amp;" "&amp;Contract.12&amp;" "&amp;Type.12&amp;" "&amp;Activity.12," ")</f>
        <v xml:space="preserve">    </v>
      </c>
      <c r="C15" s="327"/>
      <c r="D15" s="88"/>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191"/>
      <c r="AI15" s="89">
        <f t="shared" si="3"/>
        <v>0</v>
      </c>
      <c r="AJ15" s="111" t="str">
        <f t="shared" si="2"/>
        <v/>
      </c>
      <c r="AK15" s="188"/>
      <c r="AL15" s="119"/>
    </row>
    <row r="16" spans="2:38" s="64" customFormat="1" ht="17.149999999999999" customHeight="1">
      <c r="B16" s="327" t="str">
        <f>IFERROR(Project.13&amp;" "&amp;WP.13&amp;" "&amp;Contract.13&amp;" "&amp;Type.13&amp;" "&amp;Activity.13," ")</f>
        <v xml:space="preserve">    </v>
      </c>
      <c r="C16" s="327"/>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190"/>
      <c r="AI16" s="89">
        <f t="shared" si="3"/>
        <v>0</v>
      </c>
      <c r="AJ16" s="111" t="str">
        <f t="shared" si="2"/>
        <v/>
      </c>
      <c r="AK16" s="188"/>
      <c r="AL16" s="119"/>
    </row>
    <row r="17" spans="2:42" s="64" customFormat="1" ht="17.149999999999999" customHeight="1">
      <c r="B17" s="327" t="str">
        <f>IFERROR(Project.14&amp;" "&amp;WP.14&amp;" "&amp;Contract.14&amp;" "&amp;Type.14&amp;" "&amp;Activity.14," ")</f>
        <v xml:space="preserve">    </v>
      </c>
      <c r="C17" s="327"/>
      <c r="D17" s="88"/>
      <c r="E17" s="88"/>
      <c r="F17" s="88"/>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190"/>
      <c r="AI17" s="89">
        <f t="shared" si="3"/>
        <v>0</v>
      </c>
      <c r="AJ17" s="111" t="str">
        <f t="shared" si="2"/>
        <v/>
      </c>
      <c r="AK17" s="188"/>
      <c r="AL17" s="119"/>
    </row>
    <row r="18" spans="2:42" s="64" customFormat="1" ht="17.149999999999999" customHeight="1">
      <c r="B18" s="327" t="str">
        <f>IFERROR(Project.15&amp;" "&amp;WP.15&amp;" "&amp;Contract.15&amp;" "&amp;Type.15&amp;" "&amp;Activity.15," ")</f>
        <v xml:space="preserve">    </v>
      </c>
      <c r="C18" s="327"/>
      <c r="D18" s="88"/>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191"/>
      <c r="AI18" s="89">
        <f t="shared" si="3"/>
        <v>0</v>
      </c>
      <c r="AJ18" s="111" t="str">
        <f t="shared" si="2"/>
        <v/>
      </c>
      <c r="AK18" s="188"/>
      <c r="AL18" s="119"/>
    </row>
    <row r="19" spans="2:42" s="64" customFormat="1" ht="17.149999999999999" customHeight="1">
      <c r="B19" s="327" t="str">
        <f>IFERROR(Project.16&amp;" "&amp;WP.16&amp;" "&amp;Contract.16&amp;" "&amp;Type.16&amp;" "&amp;Activity.16," ")</f>
        <v xml:space="preserve">    </v>
      </c>
      <c r="C19" s="327"/>
      <c r="D19" s="88"/>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191"/>
      <c r="AI19" s="89">
        <f t="shared" si="3"/>
        <v>0</v>
      </c>
      <c r="AJ19" s="111" t="str">
        <f t="shared" si="2"/>
        <v/>
      </c>
      <c r="AK19" s="188"/>
      <c r="AL19" s="119"/>
    </row>
    <row r="20" spans="2:42" s="64" customFormat="1" ht="17.149999999999999" customHeight="1">
      <c r="B20" s="327" t="str">
        <f>IFERROR(Project.17&amp;" "&amp;WP.17&amp;" "&amp;Contract.17&amp;" "&amp;Type.17&amp;" "&amp;Activity.17," ")</f>
        <v xml:space="preserve">    </v>
      </c>
      <c r="C20" s="327"/>
      <c r="D20" s="88"/>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191"/>
      <c r="AI20" s="89">
        <f t="shared" si="3"/>
        <v>0</v>
      </c>
      <c r="AJ20" s="111" t="str">
        <f t="shared" si="2"/>
        <v/>
      </c>
      <c r="AK20" s="188"/>
      <c r="AL20" s="119"/>
    </row>
    <row r="21" spans="2:42" s="64" customFormat="1" ht="17.149999999999999" customHeight="1">
      <c r="B21" s="327" t="str">
        <f>IFERROR(Project.18&amp;" "&amp;WP.18&amp;" "&amp;Contract.18&amp;" "&amp;Type.18&amp;" "&amp;Activity.18," ")</f>
        <v xml:space="preserve">    </v>
      </c>
      <c r="C21" s="327"/>
      <c r="D21" s="88"/>
      <c r="E21" s="88"/>
      <c r="F21" s="88"/>
      <c r="G21" s="88"/>
      <c r="H21" s="88"/>
      <c r="I21" s="88"/>
      <c r="J21" s="88"/>
      <c r="K21" s="88"/>
      <c r="L21" s="88"/>
      <c r="M21" s="88"/>
      <c r="N21" s="88"/>
      <c r="O21" s="88"/>
      <c r="P21" s="88"/>
      <c r="Q21" s="88"/>
      <c r="R21" s="88"/>
      <c r="S21" s="88"/>
      <c r="T21" s="88"/>
      <c r="U21" s="88"/>
      <c r="V21" s="88"/>
      <c r="W21" s="88"/>
      <c r="X21" s="88"/>
      <c r="Y21" s="88"/>
      <c r="Z21" s="88"/>
      <c r="AA21" s="88"/>
      <c r="AB21" s="88"/>
      <c r="AC21" s="88"/>
      <c r="AD21" s="88"/>
      <c r="AE21" s="88"/>
      <c r="AF21" s="88"/>
      <c r="AG21" s="88"/>
      <c r="AH21" s="191"/>
      <c r="AI21" s="89">
        <f t="shared" si="3"/>
        <v>0</v>
      </c>
      <c r="AJ21" s="111" t="str">
        <f t="shared" si="2"/>
        <v/>
      </c>
      <c r="AK21" s="188"/>
      <c r="AL21" s="119"/>
    </row>
    <row r="22" spans="2:42" s="64" customFormat="1" ht="17.149999999999999" customHeight="1">
      <c r="B22" s="327" t="str">
        <f>IFERROR(Project.19&amp;" "&amp;WP.19&amp;" "&amp;Contract.19&amp;" "&amp;Type.19&amp;" "&amp;Activity.19," ")</f>
        <v xml:space="preserve">    </v>
      </c>
      <c r="C22" s="327"/>
      <c r="D22" s="88"/>
      <c r="E22" s="88"/>
      <c r="F22" s="88"/>
      <c r="G22" s="88"/>
      <c r="H22" s="88"/>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191"/>
      <c r="AI22" s="89">
        <f t="shared" si="3"/>
        <v>0</v>
      </c>
      <c r="AJ22" s="111" t="str">
        <f t="shared" si="2"/>
        <v/>
      </c>
      <c r="AK22" s="188"/>
      <c r="AL22" s="119"/>
    </row>
    <row r="23" spans="2:42" s="64" customFormat="1" ht="17.149999999999999" customHeight="1">
      <c r="B23" s="328" t="str">
        <f>IFERROR(Project.20&amp;" "&amp;WP.20&amp;" "&amp;Contract.20&amp;" "&amp;Type.20&amp;" "&amp;Activity.20," ")</f>
        <v xml:space="preserve">OTHER HOURS WORKED    </v>
      </c>
      <c r="C23" s="328"/>
      <c r="D23" s="88"/>
      <c r="E23" s="88"/>
      <c r="F23" s="88"/>
      <c r="G23" s="88"/>
      <c r="H23" s="88"/>
      <c r="I23" s="88"/>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191"/>
      <c r="AI23" s="89">
        <f t="shared" si="3"/>
        <v>0</v>
      </c>
      <c r="AJ23" s="111" t="str">
        <f t="shared" si="2"/>
        <v/>
      </c>
      <c r="AK23" s="188"/>
      <c r="AL23" s="119"/>
    </row>
    <row r="24" spans="2:42" s="64" customFormat="1" ht="17.149999999999999" customHeight="1">
      <c r="B24" s="207" t="s">
        <v>239</v>
      </c>
      <c r="C24" s="81"/>
      <c r="D24" s="208"/>
      <c r="E24" s="208"/>
      <c r="F24" s="208"/>
      <c r="G24" s="208"/>
      <c r="H24" s="208"/>
      <c r="I24" s="208"/>
      <c r="J24" s="208"/>
      <c r="K24" s="208"/>
      <c r="L24" s="208"/>
      <c r="M24" s="208"/>
      <c r="N24" s="208"/>
      <c r="O24" s="208"/>
      <c r="P24" s="208"/>
      <c r="Q24" s="208"/>
      <c r="R24" s="208"/>
      <c r="S24" s="208"/>
      <c r="T24" s="208"/>
      <c r="U24" s="208"/>
      <c r="V24" s="208"/>
      <c r="W24" s="208"/>
      <c r="X24" s="208"/>
      <c r="Y24" s="208"/>
      <c r="Z24" s="208"/>
      <c r="AA24" s="208"/>
      <c r="AB24" s="208"/>
      <c r="AC24" s="208"/>
      <c r="AD24" s="208"/>
      <c r="AE24" s="208"/>
      <c r="AF24" s="208"/>
      <c r="AG24" s="208"/>
      <c r="AH24" s="90"/>
      <c r="AI24" s="148">
        <f>SUM(D24:AG24)</f>
        <v>0</v>
      </c>
      <c r="AJ24" s="149" t="str">
        <f>IFERROR(AI24/$AI$28,"")</f>
        <v/>
      </c>
      <c r="AK24" s="188"/>
      <c r="AL24" s="119"/>
    </row>
    <row r="25" spans="2:42" s="65" customFormat="1" ht="17.149999999999999" customHeight="1">
      <c r="B25" s="83" t="s">
        <v>56</v>
      </c>
      <c r="C25" s="84"/>
      <c r="D25" s="91">
        <f>D26</f>
        <v>0</v>
      </c>
      <c r="E25" s="91">
        <f t="shared" ref="E25:AH25" si="4">E26</f>
        <v>0</v>
      </c>
      <c r="F25" s="91">
        <f t="shared" si="4"/>
        <v>0</v>
      </c>
      <c r="G25" s="91">
        <f t="shared" si="4"/>
        <v>0</v>
      </c>
      <c r="H25" s="91">
        <f t="shared" si="4"/>
        <v>0</v>
      </c>
      <c r="I25" s="91">
        <f t="shared" si="4"/>
        <v>0</v>
      </c>
      <c r="J25" s="91">
        <f t="shared" si="4"/>
        <v>0</v>
      </c>
      <c r="K25" s="91">
        <f t="shared" si="4"/>
        <v>0</v>
      </c>
      <c r="L25" s="91">
        <f t="shared" si="4"/>
        <v>0</v>
      </c>
      <c r="M25" s="91">
        <f t="shared" si="4"/>
        <v>0</v>
      </c>
      <c r="N25" s="91">
        <f t="shared" si="4"/>
        <v>0</v>
      </c>
      <c r="O25" s="91">
        <f t="shared" si="4"/>
        <v>0</v>
      </c>
      <c r="P25" s="91">
        <f t="shared" si="4"/>
        <v>0</v>
      </c>
      <c r="Q25" s="91">
        <f t="shared" si="4"/>
        <v>0</v>
      </c>
      <c r="R25" s="91">
        <f t="shared" si="4"/>
        <v>0</v>
      </c>
      <c r="S25" s="91">
        <f t="shared" si="4"/>
        <v>0</v>
      </c>
      <c r="T25" s="91">
        <f t="shared" si="4"/>
        <v>0</v>
      </c>
      <c r="U25" s="91">
        <f t="shared" si="4"/>
        <v>0</v>
      </c>
      <c r="V25" s="91">
        <f t="shared" si="4"/>
        <v>0</v>
      </c>
      <c r="W25" s="91">
        <f t="shared" si="4"/>
        <v>0</v>
      </c>
      <c r="X25" s="91">
        <f t="shared" si="4"/>
        <v>0</v>
      </c>
      <c r="Y25" s="91">
        <f t="shared" si="4"/>
        <v>0</v>
      </c>
      <c r="Z25" s="91">
        <f t="shared" si="4"/>
        <v>0</v>
      </c>
      <c r="AA25" s="91">
        <f t="shared" si="4"/>
        <v>0</v>
      </c>
      <c r="AB25" s="91">
        <f t="shared" si="4"/>
        <v>0</v>
      </c>
      <c r="AC25" s="91">
        <f t="shared" si="4"/>
        <v>0</v>
      </c>
      <c r="AD25" s="91">
        <f t="shared" si="4"/>
        <v>0</v>
      </c>
      <c r="AE25" s="91">
        <f t="shared" si="4"/>
        <v>0</v>
      </c>
      <c r="AF25" s="91">
        <f t="shared" si="4"/>
        <v>0</v>
      </c>
      <c r="AG25" s="91">
        <f t="shared" si="4"/>
        <v>0</v>
      </c>
      <c r="AH25" s="91">
        <f t="shared" si="4"/>
        <v>0</v>
      </c>
      <c r="AI25" s="92"/>
      <c r="AJ25" s="82"/>
      <c r="AL25" s="120"/>
    </row>
    <row r="26" spans="2:42" s="64" customFormat="1" ht="17.149999999999999" customHeight="1">
      <c r="B26" s="318" t="s">
        <v>4</v>
      </c>
      <c r="C26" s="319"/>
      <c r="D26" s="93">
        <f t="shared" ref="D26:AH26" si="5">SUM(D4:D23)</f>
        <v>0</v>
      </c>
      <c r="E26" s="93">
        <f t="shared" si="5"/>
        <v>0</v>
      </c>
      <c r="F26" s="93">
        <f t="shared" si="5"/>
        <v>0</v>
      </c>
      <c r="G26" s="93">
        <f t="shared" si="5"/>
        <v>0</v>
      </c>
      <c r="H26" s="93">
        <f t="shared" si="5"/>
        <v>0</v>
      </c>
      <c r="I26" s="93">
        <f t="shared" si="5"/>
        <v>0</v>
      </c>
      <c r="J26" s="93">
        <f t="shared" si="5"/>
        <v>0</v>
      </c>
      <c r="K26" s="93">
        <f t="shared" si="5"/>
        <v>0</v>
      </c>
      <c r="L26" s="93">
        <f t="shared" si="5"/>
        <v>0</v>
      </c>
      <c r="M26" s="93">
        <f t="shared" si="5"/>
        <v>0</v>
      </c>
      <c r="N26" s="93">
        <f t="shared" si="5"/>
        <v>0</v>
      </c>
      <c r="O26" s="93">
        <f t="shared" si="5"/>
        <v>0</v>
      </c>
      <c r="P26" s="93">
        <f t="shared" si="5"/>
        <v>0</v>
      </c>
      <c r="Q26" s="93">
        <f t="shared" si="5"/>
        <v>0</v>
      </c>
      <c r="R26" s="93">
        <f t="shared" si="5"/>
        <v>0</v>
      </c>
      <c r="S26" s="93">
        <f t="shared" si="5"/>
        <v>0</v>
      </c>
      <c r="T26" s="93">
        <f t="shared" si="5"/>
        <v>0</v>
      </c>
      <c r="U26" s="93">
        <f t="shared" si="5"/>
        <v>0</v>
      </c>
      <c r="V26" s="93">
        <f t="shared" si="5"/>
        <v>0</v>
      </c>
      <c r="W26" s="93">
        <f t="shared" si="5"/>
        <v>0</v>
      </c>
      <c r="X26" s="93">
        <f t="shared" si="5"/>
        <v>0</v>
      </c>
      <c r="Y26" s="93">
        <f t="shared" si="5"/>
        <v>0</v>
      </c>
      <c r="Z26" s="93">
        <f t="shared" si="5"/>
        <v>0</v>
      </c>
      <c r="AA26" s="93">
        <f t="shared" si="5"/>
        <v>0</v>
      </c>
      <c r="AB26" s="93">
        <f t="shared" si="5"/>
        <v>0</v>
      </c>
      <c r="AC26" s="93">
        <f t="shared" si="5"/>
        <v>0</v>
      </c>
      <c r="AD26" s="93">
        <f t="shared" si="5"/>
        <v>0</v>
      </c>
      <c r="AE26" s="93">
        <f t="shared" si="5"/>
        <v>0</v>
      </c>
      <c r="AF26" s="93">
        <f t="shared" si="5"/>
        <v>0</v>
      </c>
      <c r="AG26" s="93">
        <f t="shared" si="5"/>
        <v>0</v>
      </c>
      <c r="AH26" s="93">
        <f t="shared" si="5"/>
        <v>0</v>
      </c>
      <c r="AI26" s="94">
        <f>SUM(D26:AG26)</f>
        <v>0</v>
      </c>
      <c r="AJ26" s="82"/>
    </row>
    <row r="27" spans="2:42" s="65" customFormat="1" ht="17.149999999999999" customHeight="1">
      <c r="B27" s="83" t="s">
        <v>56</v>
      </c>
      <c r="C27" s="84"/>
      <c r="D27" s="91"/>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2"/>
      <c r="AJ27" s="84"/>
      <c r="AK27" s="64"/>
      <c r="AL27" s="64"/>
      <c r="AM27" s="64"/>
      <c r="AN27" s="64"/>
      <c r="AO27" s="64"/>
      <c r="AP27" s="64"/>
    </row>
    <row r="28" spans="2:42" s="64" customFormat="1" ht="17.149999999999999" customHeight="1">
      <c r="B28" s="318" t="s">
        <v>5</v>
      </c>
      <c r="C28" s="319"/>
      <c r="D28" s="93">
        <f>SUM(D4:D24)</f>
        <v>0</v>
      </c>
      <c r="E28" s="93">
        <f t="shared" ref="E28:AH28" si="6">SUM(E4:E24)</f>
        <v>0</v>
      </c>
      <c r="F28" s="93">
        <f t="shared" si="6"/>
        <v>0</v>
      </c>
      <c r="G28" s="93">
        <f t="shared" si="6"/>
        <v>0</v>
      </c>
      <c r="H28" s="93">
        <f t="shared" si="6"/>
        <v>0</v>
      </c>
      <c r="I28" s="93">
        <f t="shared" si="6"/>
        <v>0</v>
      </c>
      <c r="J28" s="93">
        <f t="shared" si="6"/>
        <v>0</v>
      </c>
      <c r="K28" s="93">
        <f t="shared" si="6"/>
        <v>0</v>
      </c>
      <c r="L28" s="93">
        <f t="shared" si="6"/>
        <v>0</v>
      </c>
      <c r="M28" s="93">
        <f t="shared" si="6"/>
        <v>0</v>
      </c>
      <c r="N28" s="93">
        <f t="shared" si="6"/>
        <v>0</v>
      </c>
      <c r="O28" s="93">
        <f t="shared" si="6"/>
        <v>0</v>
      </c>
      <c r="P28" s="93">
        <f t="shared" si="6"/>
        <v>0</v>
      </c>
      <c r="Q28" s="93">
        <f t="shared" si="6"/>
        <v>0</v>
      </c>
      <c r="R28" s="93">
        <f t="shared" si="6"/>
        <v>0</v>
      </c>
      <c r="S28" s="93">
        <f t="shared" si="6"/>
        <v>0</v>
      </c>
      <c r="T28" s="93">
        <f t="shared" si="6"/>
        <v>0</v>
      </c>
      <c r="U28" s="93">
        <f t="shared" si="6"/>
        <v>0</v>
      </c>
      <c r="V28" s="93">
        <f t="shared" si="6"/>
        <v>0</v>
      </c>
      <c r="W28" s="93">
        <f t="shared" si="6"/>
        <v>0</v>
      </c>
      <c r="X28" s="93">
        <f t="shared" si="6"/>
        <v>0</v>
      </c>
      <c r="Y28" s="93">
        <f t="shared" si="6"/>
        <v>0</v>
      </c>
      <c r="Z28" s="93">
        <f t="shared" si="6"/>
        <v>0</v>
      </c>
      <c r="AA28" s="93">
        <f t="shared" si="6"/>
        <v>0</v>
      </c>
      <c r="AB28" s="93">
        <f t="shared" si="6"/>
        <v>0</v>
      </c>
      <c r="AC28" s="93">
        <f t="shared" si="6"/>
        <v>0</v>
      </c>
      <c r="AD28" s="93">
        <f t="shared" si="6"/>
        <v>0</v>
      </c>
      <c r="AE28" s="93">
        <f t="shared" si="6"/>
        <v>0</v>
      </c>
      <c r="AF28" s="93">
        <f t="shared" si="6"/>
        <v>0</v>
      </c>
      <c r="AG28" s="93">
        <f t="shared" si="6"/>
        <v>0</v>
      </c>
      <c r="AH28" s="93">
        <f t="shared" si="6"/>
        <v>0</v>
      </c>
      <c r="AI28" s="94">
        <f>SUM(D28:AG28)</f>
        <v>0</v>
      </c>
      <c r="AJ28" s="82"/>
    </row>
    <row r="29" spans="2:42" ht="17.25" customHeight="1">
      <c r="B29" s="53" t="s">
        <v>56</v>
      </c>
      <c r="C29" s="54"/>
      <c r="D29" s="47"/>
      <c r="E29" s="47"/>
      <c r="F29" s="47"/>
      <c r="G29" s="47"/>
      <c r="H29" s="47"/>
      <c r="I29" s="47"/>
      <c r="J29" s="47"/>
      <c r="K29" s="47"/>
      <c r="L29" s="47"/>
      <c r="M29" s="47"/>
      <c r="N29" s="47"/>
      <c r="O29" s="47"/>
      <c r="P29" s="47"/>
      <c r="Q29" s="47"/>
      <c r="R29" s="47"/>
      <c r="S29" s="47"/>
      <c r="T29" s="47"/>
      <c r="U29" s="47"/>
      <c r="V29" s="55"/>
      <c r="W29" s="55"/>
      <c r="X29" s="55"/>
      <c r="Y29" s="55"/>
      <c r="Z29" s="55"/>
      <c r="AA29" s="55"/>
      <c r="AB29" s="55"/>
      <c r="AC29" s="55"/>
      <c r="AD29" s="55"/>
      <c r="AE29" s="55"/>
      <c r="AF29" s="55"/>
      <c r="AG29" s="55"/>
      <c r="AH29" s="55"/>
      <c r="AI29" s="56"/>
      <c r="AJ29" s="11"/>
      <c r="AK29" s="64"/>
      <c r="AL29" s="64"/>
      <c r="AM29" s="64"/>
      <c r="AN29" s="64"/>
      <c r="AO29" s="64"/>
      <c r="AP29" s="64"/>
    </row>
    <row r="30" spans="2:42" ht="17.25" customHeight="1">
      <c r="B30" s="101" t="s">
        <v>8</v>
      </c>
      <c r="C30" s="102"/>
      <c r="D30" s="102"/>
      <c r="E30" s="102"/>
      <c r="F30" s="102"/>
      <c r="G30" s="103" t="s">
        <v>9</v>
      </c>
      <c r="H30" s="102"/>
      <c r="I30" s="11"/>
      <c r="J30" s="57"/>
      <c r="K30" s="11"/>
      <c r="L30" s="75"/>
      <c r="M30" s="11"/>
      <c r="N30" s="11"/>
      <c r="O30" s="11"/>
      <c r="P30" s="11"/>
      <c r="Q30" s="331" t="str">
        <f>'Start page'!D30</f>
        <v>• Missing information – Enter Project Acronym/name</v>
      </c>
      <c r="R30" s="331"/>
      <c r="S30" s="331"/>
      <c r="T30" s="331"/>
      <c r="U30" s="331"/>
      <c r="V30" s="331"/>
      <c r="W30" s="331"/>
      <c r="X30" s="331"/>
      <c r="Y30" s="331"/>
      <c r="Z30" s="331"/>
      <c r="AA30" s="331"/>
      <c r="AB30" s="331"/>
      <c r="AC30" s="331"/>
      <c r="AD30" s="331"/>
      <c r="AE30" s="331"/>
      <c r="AF30" s="331"/>
      <c r="AG30" s="331"/>
      <c r="AH30" s="331"/>
      <c r="AI30" s="331"/>
      <c r="AJ30" s="58"/>
      <c r="AK30" s="64"/>
      <c r="AL30" s="64"/>
      <c r="AM30" s="64"/>
      <c r="AN30" s="64"/>
      <c r="AO30" s="64"/>
      <c r="AP30" s="64"/>
    </row>
    <row r="31" spans="2:42" ht="15.5">
      <c r="B31" s="104" t="s">
        <v>56</v>
      </c>
      <c r="C31" s="95"/>
      <c r="D31" s="95"/>
      <c r="E31" s="95"/>
      <c r="F31" s="102"/>
      <c r="G31" s="95"/>
      <c r="H31" s="95"/>
      <c r="I31" s="11"/>
      <c r="J31" s="47"/>
      <c r="K31" s="47"/>
      <c r="L31" s="76"/>
      <c r="M31" s="47"/>
      <c r="N31" s="47"/>
      <c r="O31" s="47"/>
      <c r="P31" s="47"/>
      <c r="Q31" s="331"/>
      <c r="R31" s="331"/>
      <c r="S31" s="331"/>
      <c r="T31" s="331"/>
      <c r="U31" s="331"/>
      <c r="V31" s="331"/>
      <c r="W31" s="331"/>
      <c r="X31" s="331"/>
      <c r="Y31" s="331"/>
      <c r="Z31" s="331"/>
      <c r="AA31" s="331"/>
      <c r="AB31" s="331"/>
      <c r="AC31" s="331"/>
      <c r="AD31" s="331"/>
      <c r="AE31" s="331"/>
      <c r="AF31" s="331"/>
      <c r="AG31" s="331"/>
      <c r="AH31" s="331"/>
      <c r="AI31" s="331"/>
      <c r="AJ31" s="325" t="s">
        <v>230</v>
      </c>
      <c r="AK31" s="326"/>
    </row>
    <row r="32" spans="2:42" ht="15.5">
      <c r="B32" s="105" t="s">
        <v>56</v>
      </c>
      <c r="C32" s="106"/>
      <c r="D32" s="106"/>
      <c r="E32" s="95"/>
      <c r="F32" s="102"/>
      <c r="G32" s="106"/>
      <c r="H32" s="107"/>
      <c r="I32" s="61"/>
      <c r="J32" s="61"/>
      <c r="K32" s="61"/>
      <c r="L32" s="61"/>
      <c r="M32" s="61"/>
      <c r="N32" s="61"/>
      <c r="O32" s="47"/>
      <c r="P32" s="47"/>
      <c r="Q32" s="65"/>
      <c r="R32" s="65"/>
      <c r="S32" s="47"/>
      <c r="T32" s="47"/>
      <c r="U32" s="47"/>
      <c r="V32" s="47"/>
      <c r="W32" s="47"/>
      <c r="X32" s="316"/>
      <c r="Y32" s="316"/>
      <c r="Z32" s="316"/>
      <c r="AA32" s="316"/>
      <c r="AB32" s="317"/>
      <c r="AC32" s="317"/>
      <c r="AD32" s="58"/>
      <c r="AE32" s="316"/>
      <c r="AF32" s="316"/>
      <c r="AG32" s="316"/>
      <c r="AH32" s="316"/>
      <c r="AI32" s="77"/>
      <c r="AJ32" s="195">
        <v>1</v>
      </c>
      <c r="AK32" s="196" t="s">
        <v>234</v>
      </c>
    </row>
    <row r="33" spans="2:37" ht="15.5">
      <c r="B33" s="108">
        <f>Member</f>
        <v>0</v>
      </c>
      <c r="C33" s="95"/>
      <c r="D33" s="95"/>
      <c r="E33" s="95"/>
      <c r="F33" s="102"/>
      <c r="G33" s="95">
        <f>Supervisor</f>
        <v>0</v>
      </c>
      <c r="H33" s="102"/>
      <c r="I33" s="11"/>
      <c r="J33" s="47"/>
      <c r="K33" s="47"/>
      <c r="L33" s="47"/>
      <c r="M33" s="47"/>
      <c r="N33" s="47"/>
      <c r="O33" s="47"/>
      <c r="P33" s="47"/>
      <c r="Q33" s="331" t="str">
        <f>'Start page'!D6</f>
        <v>• Missing information – Fill in all names and title/function on the Start Page</v>
      </c>
      <c r="R33" s="331"/>
      <c r="S33" s="331"/>
      <c r="T33" s="331"/>
      <c r="U33" s="331"/>
      <c r="V33" s="331"/>
      <c r="W33" s="331"/>
      <c r="X33" s="331"/>
      <c r="Y33" s="331"/>
      <c r="Z33" s="331"/>
      <c r="AA33" s="331"/>
      <c r="AB33" s="331"/>
      <c r="AC33" s="331"/>
      <c r="AD33" s="331"/>
      <c r="AE33" s="331"/>
      <c r="AF33" s="331"/>
      <c r="AG33" s="331"/>
      <c r="AH33" s="331"/>
      <c r="AI33" s="331"/>
      <c r="AJ33" s="197">
        <v>2</v>
      </c>
      <c r="AK33" s="198" t="s">
        <v>231</v>
      </c>
    </row>
    <row r="34" spans="2:37" ht="18.75" customHeight="1">
      <c r="B34" s="109">
        <f>Title.member</f>
        <v>0</v>
      </c>
      <c r="C34" s="102"/>
      <c r="D34" s="95"/>
      <c r="E34" s="102"/>
      <c r="F34" s="102"/>
      <c r="G34" s="102">
        <f>Title.supervisor</f>
        <v>0</v>
      </c>
      <c r="H34" s="95"/>
      <c r="I34" s="11"/>
      <c r="J34" s="60"/>
      <c r="K34" s="11"/>
      <c r="L34" s="11"/>
      <c r="M34" s="11"/>
      <c r="N34" s="11"/>
      <c r="O34" s="47"/>
      <c r="P34" s="47"/>
      <c r="Q34" s="65"/>
      <c r="R34" s="65"/>
      <c r="S34" s="47"/>
      <c r="T34" s="47"/>
      <c r="U34" s="47"/>
      <c r="V34" s="47"/>
      <c r="W34" s="47"/>
      <c r="X34" s="179"/>
      <c r="Y34" s="179"/>
      <c r="Z34" s="179"/>
      <c r="AA34" s="179"/>
      <c r="AB34" s="180"/>
      <c r="AC34" s="180"/>
      <c r="AD34" s="58"/>
      <c r="AE34" s="181"/>
      <c r="AF34" s="181"/>
      <c r="AG34" s="181"/>
      <c r="AH34" s="214"/>
      <c r="AI34" s="59"/>
      <c r="AJ34" s="62"/>
    </row>
    <row r="35" spans="2:37" ht="18.75" customHeight="1">
      <c r="B35" s="109" t="s">
        <v>72</v>
      </c>
      <c r="C35" s="102"/>
      <c r="D35" s="95"/>
      <c r="E35" s="102"/>
      <c r="F35" s="102"/>
      <c r="G35" s="102" t="s">
        <v>73</v>
      </c>
      <c r="H35" s="95"/>
      <c r="I35" s="11"/>
      <c r="J35" s="60"/>
      <c r="K35" s="11"/>
      <c r="L35" s="11"/>
      <c r="M35" s="11"/>
      <c r="N35" s="11"/>
      <c r="O35" s="47"/>
      <c r="P35" s="47"/>
      <c r="Q35" s="65"/>
      <c r="R35" s="65"/>
      <c r="S35" s="47"/>
      <c r="T35" s="47"/>
      <c r="U35" s="47"/>
      <c r="V35" s="47"/>
      <c r="W35" s="47"/>
      <c r="X35" s="316"/>
      <c r="Y35" s="316"/>
      <c r="Z35" s="316"/>
      <c r="AA35" s="316"/>
      <c r="AB35" s="317"/>
      <c r="AC35" s="317"/>
      <c r="AD35" s="58"/>
      <c r="AE35" s="320"/>
      <c r="AF35" s="320"/>
      <c r="AG35" s="320"/>
      <c r="AH35" s="320"/>
      <c r="AI35" s="59"/>
      <c r="AJ35" s="62"/>
    </row>
    <row r="36" spans="2:37" ht="12" customHeight="1">
      <c r="B36" s="109"/>
      <c r="C36" s="102"/>
      <c r="D36" s="95"/>
      <c r="E36" s="102"/>
      <c r="F36" s="102"/>
      <c r="G36" s="102"/>
      <c r="H36" s="95"/>
      <c r="I36" s="11"/>
      <c r="J36" s="60"/>
      <c r="K36" s="11"/>
      <c r="L36" s="11"/>
      <c r="M36" s="11"/>
      <c r="N36" s="11"/>
      <c r="O36" s="47"/>
      <c r="P36" s="47"/>
      <c r="Q36" s="65"/>
      <c r="R36" s="65"/>
      <c r="S36" s="47"/>
      <c r="T36" s="47"/>
      <c r="U36" s="47"/>
      <c r="V36" s="47"/>
      <c r="W36" s="47"/>
      <c r="X36" s="77"/>
      <c r="Y36" s="77"/>
      <c r="Z36" s="77"/>
      <c r="AA36" s="77"/>
      <c r="AB36" s="78"/>
      <c r="AC36" s="78"/>
      <c r="AD36" s="58"/>
      <c r="AE36" s="79"/>
      <c r="AF36" s="79"/>
      <c r="AG36" s="79"/>
      <c r="AH36" s="214"/>
      <c r="AI36" s="59"/>
      <c r="AJ36" s="62"/>
    </row>
    <row r="37" spans="2:37" ht="23.25" customHeight="1">
      <c r="B37" s="105" t="s">
        <v>56</v>
      </c>
      <c r="C37" s="95"/>
      <c r="D37" s="106"/>
      <c r="E37" s="102"/>
      <c r="F37" s="102"/>
      <c r="G37" s="106"/>
      <c r="H37" s="110" t="s">
        <v>56</v>
      </c>
      <c r="I37" s="61"/>
      <c r="J37" s="61"/>
      <c r="K37" s="61"/>
      <c r="L37" s="61"/>
      <c r="M37" s="61"/>
      <c r="N37" s="61"/>
      <c r="O37" s="47"/>
      <c r="P37" s="47"/>
      <c r="Q37" s="331" t="str">
        <f>'Start page'!D29</f>
        <v/>
      </c>
      <c r="R37" s="331"/>
      <c r="S37" s="331"/>
      <c r="T37" s="331"/>
      <c r="U37" s="331"/>
      <c r="V37" s="331"/>
      <c r="W37" s="331"/>
      <c r="X37" s="331"/>
      <c r="Y37" s="331"/>
      <c r="Z37" s="331"/>
      <c r="AA37" s="331"/>
      <c r="AB37" s="331"/>
      <c r="AC37" s="331"/>
      <c r="AD37" s="331"/>
      <c r="AE37" s="331"/>
      <c r="AF37" s="331"/>
      <c r="AG37" s="331"/>
      <c r="AH37" s="331"/>
      <c r="AI37" s="331"/>
      <c r="AJ37" s="47"/>
    </row>
    <row r="38" spans="2:37" ht="19.5" customHeight="1">
      <c r="B38" s="108" t="s">
        <v>1</v>
      </c>
      <c r="C38" s="108"/>
      <c r="D38" s="95"/>
      <c r="E38" s="102"/>
      <c r="F38" s="102"/>
      <c r="G38" s="95" t="s">
        <v>1</v>
      </c>
      <c r="H38" s="102"/>
      <c r="I38" s="47"/>
      <c r="J38" s="47"/>
      <c r="K38" s="47"/>
      <c r="L38" s="47"/>
      <c r="M38" s="47"/>
      <c r="N38" s="47"/>
      <c r="O38" s="47"/>
      <c r="P38" s="47"/>
      <c r="Q38" s="47"/>
      <c r="R38" s="65"/>
      <c r="S38" s="47"/>
      <c r="T38" s="47"/>
      <c r="U38" s="47"/>
      <c r="V38" s="47"/>
      <c r="W38" s="77"/>
      <c r="X38" s="77"/>
      <c r="Y38" s="77"/>
      <c r="Z38" s="77"/>
      <c r="AA38" s="79"/>
      <c r="AB38" s="79"/>
      <c r="AC38" s="77"/>
      <c r="AD38" s="77"/>
      <c r="AE38" s="77"/>
      <c r="AF38" s="77"/>
      <c r="AG38" s="77"/>
      <c r="AH38" s="213"/>
      <c r="AI38" s="47"/>
      <c r="AJ38" s="11"/>
    </row>
    <row r="39" spans="2:37" ht="14.5">
      <c r="B39" s="37" t="s">
        <v>56</v>
      </c>
      <c r="C39" s="37">
        <f>ROW()</f>
        <v>39</v>
      </c>
      <c r="D39" s="64"/>
      <c r="E39" s="64"/>
      <c r="F39" s="64"/>
      <c r="G39" s="64"/>
      <c r="H39" s="64"/>
      <c r="I39" s="64"/>
      <c r="J39" s="64"/>
      <c r="K39" s="64"/>
      <c r="L39" s="64"/>
      <c r="M39" s="64"/>
      <c r="N39" s="64"/>
      <c r="O39" s="64"/>
      <c r="P39" s="65"/>
      <c r="Q39" s="65"/>
      <c r="R39" s="65"/>
      <c r="S39" s="65"/>
      <c r="T39" s="65"/>
      <c r="U39" s="65"/>
      <c r="V39" s="65"/>
      <c r="W39" s="65"/>
      <c r="X39" s="65"/>
      <c r="Y39" s="65"/>
      <c r="Z39" s="65"/>
      <c r="AA39" s="65"/>
      <c r="AB39" s="65"/>
      <c r="AC39" s="314"/>
      <c r="AD39" s="322"/>
      <c r="AE39" s="322"/>
      <c r="AF39" s="322"/>
      <c r="AG39" s="322"/>
      <c r="AH39" s="322"/>
      <c r="AI39" s="65"/>
    </row>
    <row r="40" spans="2:37" ht="14.5">
      <c r="P40" s="34"/>
      <c r="Q40" s="34"/>
      <c r="R40" s="34"/>
      <c r="S40" s="34"/>
      <c r="T40" s="34"/>
      <c r="U40" s="34"/>
      <c r="V40" s="34"/>
      <c r="W40" s="34"/>
      <c r="X40" s="34"/>
      <c r="Y40" s="34"/>
      <c r="Z40" s="34"/>
      <c r="AA40" s="34"/>
      <c r="AB40" s="34"/>
      <c r="AC40" s="323"/>
      <c r="AD40" s="324"/>
      <c r="AE40" s="324"/>
      <c r="AF40" s="324"/>
      <c r="AG40" s="324"/>
      <c r="AH40" s="324"/>
      <c r="AI40" s="34"/>
    </row>
    <row r="41" spans="2:37" ht="14.5">
      <c r="B41" s="306" t="s">
        <v>235</v>
      </c>
      <c r="C41" s="307"/>
      <c r="D41" s="307"/>
      <c r="E41" s="307"/>
      <c r="F41" s="307"/>
      <c r="G41" s="308"/>
      <c r="H41" s="308"/>
      <c r="I41" s="309"/>
      <c r="J41" s="309"/>
      <c r="K41" s="309"/>
      <c r="L41" s="309"/>
      <c r="M41" s="309"/>
      <c r="N41" s="309"/>
      <c r="O41" s="310"/>
      <c r="P41" s="34"/>
      <c r="Q41" s="34"/>
      <c r="R41" s="34"/>
      <c r="S41" s="34"/>
      <c r="T41" s="34"/>
      <c r="U41" s="34"/>
      <c r="V41" s="34"/>
      <c r="W41" s="34"/>
      <c r="X41" s="34"/>
      <c r="Y41" s="34"/>
      <c r="Z41" s="34"/>
      <c r="AA41" s="34"/>
      <c r="AB41" s="34"/>
      <c r="AC41" s="314"/>
      <c r="AD41" s="315"/>
      <c r="AE41" s="315"/>
      <c r="AF41" s="315"/>
      <c r="AG41" s="315"/>
      <c r="AH41" s="315"/>
      <c r="AI41" s="34"/>
    </row>
    <row r="42" spans="2:37" ht="14.5">
      <c r="B42" s="311"/>
      <c r="C42" s="312"/>
      <c r="D42" s="312"/>
      <c r="E42" s="312"/>
      <c r="F42" s="312"/>
      <c r="G42" s="312"/>
      <c r="H42" s="312"/>
      <c r="I42" s="312"/>
      <c r="J42" s="312"/>
      <c r="K42" s="312"/>
      <c r="L42" s="312"/>
      <c r="M42" s="312"/>
      <c r="N42" s="312"/>
      <c r="O42" s="313"/>
      <c r="P42" s="34"/>
      <c r="Q42" s="34"/>
      <c r="R42" s="34"/>
      <c r="S42" s="34"/>
      <c r="T42" s="34"/>
      <c r="U42" s="34"/>
      <c r="V42" s="34"/>
      <c r="W42" s="34"/>
      <c r="X42" s="34"/>
      <c r="Y42" s="34"/>
      <c r="Z42" s="34"/>
      <c r="AA42" s="34"/>
      <c r="AB42" s="34"/>
      <c r="AC42" s="314"/>
      <c r="AD42" s="315"/>
      <c r="AE42" s="315"/>
      <c r="AF42" s="315"/>
      <c r="AG42" s="315"/>
      <c r="AH42" s="315"/>
      <c r="AI42" s="34"/>
    </row>
    <row r="43" spans="2:37" ht="14.5">
      <c r="P43" s="34"/>
      <c r="Q43" s="34"/>
      <c r="R43" s="34"/>
      <c r="S43" s="34"/>
      <c r="T43" s="34"/>
      <c r="U43" s="34"/>
      <c r="V43" s="34"/>
      <c r="W43" s="34"/>
      <c r="X43" s="34"/>
      <c r="Y43" s="34"/>
      <c r="Z43" s="34"/>
      <c r="AA43" s="34"/>
      <c r="AB43" s="34"/>
      <c r="AC43" s="34"/>
      <c r="AD43" s="34"/>
      <c r="AE43" s="34"/>
      <c r="AF43" s="34"/>
      <c r="AG43" s="34"/>
      <c r="AH43" s="34"/>
      <c r="AI43" s="34"/>
    </row>
    <row r="44" spans="2:37" ht="14.5">
      <c r="P44" s="34"/>
      <c r="Q44" s="34"/>
      <c r="R44" s="34"/>
      <c r="S44" s="34"/>
      <c r="T44" s="34"/>
      <c r="U44" s="34"/>
      <c r="V44" s="34"/>
      <c r="W44" s="34"/>
      <c r="X44" s="34"/>
      <c r="Y44" s="34"/>
      <c r="Z44" s="34"/>
      <c r="AA44" s="34"/>
      <c r="AB44" s="34"/>
      <c r="AC44" s="34"/>
      <c r="AD44" s="34"/>
      <c r="AE44" s="34"/>
      <c r="AF44" s="34"/>
      <c r="AG44" s="34"/>
      <c r="AH44" s="34"/>
      <c r="AI44" s="34"/>
    </row>
    <row r="45" spans="2:37" ht="14.5"/>
    <row r="46" spans="2:37" ht="14.5"/>
    <row r="47" spans="2:37" ht="14.5"/>
    <row r="48" spans="2:37" ht="14.5"/>
    <row r="49" ht="14.5"/>
    <row r="50" ht="14.5"/>
    <row r="51" ht="14.5"/>
    <row r="52" ht="14.5"/>
    <row r="53" ht="14.5"/>
    <row r="54" ht="14.5"/>
    <row r="55" ht="14.5"/>
    <row r="56" ht="14.5"/>
    <row r="57" ht="14.5"/>
    <row r="58" ht="14.5"/>
    <row r="59" ht="14.5"/>
    <row r="60" ht="14.5"/>
    <row r="61" ht="14.5"/>
    <row r="62" ht="14.5"/>
    <row r="63" ht="14.5"/>
    <row r="64" ht="14.5"/>
    <row r="65" ht="14.5"/>
    <row r="66" ht="14.5"/>
    <row r="67" ht="14.5"/>
    <row r="68" ht="14.5"/>
    <row r="69" ht="14.5"/>
    <row r="70" ht="14.5"/>
    <row r="71" ht="14.5"/>
    <row r="72" ht="14.5"/>
    <row r="73" ht="14.5"/>
    <row r="74" ht="14.5"/>
    <row r="75" ht="14.5"/>
    <row r="76" ht="14.5"/>
    <row r="77" ht="14.5"/>
    <row r="78" ht="14.5"/>
    <row r="79" ht="14.5"/>
    <row r="80" ht="14.5"/>
    <row r="81" ht="14.5"/>
    <row r="82" ht="14.5"/>
    <row r="83" ht="14.5"/>
    <row r="84" ht="14.5"/>
    <row r="85" ht="14.5"/>
    <row r="86" ht="14.5"/>
    <row r="87" ht="14.5"/>
    <row r="88" ht="14.5"/>
    <row r="89" ht="14.5"/>
    <row r="90" ht="14.5"/>
    <row r="91" ht="14.5"/>
    <row r="92" ht="14.5"/>
    <row r="93" ht="14.5"/>
    <row r="94" ht="14.5"/>
    <row r="95" ht="14.5"/>
    <row r="96" ht="14.5"/>
    <row r="97" ht="14.5"/>
    <row r="98" ht="14.5"/>
    <row r="99" ht="14.5"/>
    <row r="100" ht="14.5"/>
    <row r="101" ht="14.5"/>
    <row r="102" ht="14.5"/>
    <row r="103" ht="14.5"/>
    <row r="104" ht="14.5"/>
    <row r="105" ht="14.5"/>
    <row r="106" ht="14.5"/>
    <row r="107" ht="14.5"/>
    <row r="108" ht="14.5"/>
    <row r="109" ht="14.5"/>
    <row r="110" ht="14.5"/>
    <row r="111" ht="14.5"/>
    <row r="112" ht="14.5"/>
    <row r="113" ht="14.5"/>
    <row r="114" ht="14.5"/>
    <row r="115" ht="14.5"/>
    <row r="116" ht="14.5"/>
    <row r="117" ht="14.5"/>
    <row r="118" ht="14.5"/>
    <row r="119" ht="14.5"/>
    <row r="120" ht="14.5"/>
    <row r="121" ht="14.5"/>
    <row r="122" ht="14.5"/>
    <row r="123" ht="14.5"/>
    <row r="124" ht="14.5"/>
    <row r="125" ht="14.5"/>
    <row r="126" ht="14.5"/>
    <row r="127" ht="14.5"/>
    <row r="128" ht="14.5"/>
    <row r="129" ht="14.5"/>
    <row r="130" ht="14.5"/>
    <row r="131" ht="14.5"/>
    <row r="132" ht="14.5"/>
    <row r="133" ht="14.5"/>
    <row r="134" ht="14.5"/>
    <row r="135" ht="14.5"/>
    <row r="136" ht="14.5"/>
    <row r="137" ht="14.5"/>
    <row r="138" ht="14.5"/>
    <row r="139" ht="14.5"/>
    <row r="140" ht="14.5"/>
    <row r="141" ht="14.5"/>
    <row r="142" ht="14.5"/>
    <row r="143" ht="14.5"/>
    <row r="144" ht="14.5"/>
    <row r="145" ht="14.5"/>
    <row r="146" ht="14.5"/>
    <row r="147" ht="14.5"/>
    <row r="148" ht="14.5"/>
    <row r="149" ht="14.5"/>
    <row r="150" ht="14.5"/>
    <row r="151" ht="14.5"/>
    <row r="152" ht="14.5"/>
    <row r="153" ht="14.5"/>
    <row r="154" ht="14.5"/>
    <row r="155" ht="14.5"/>
    <row r="156" ht="14.5"/>
    <row r="157" ht="14.5"/>
    <row r="158" ht="14.5"/>
    <row r="159" ht="14.5"/>
    <row r="160" ht="15" customHeight="1"/>
    <row r="161" ht="15" customHeight="1"/>
    <row r="162" ht="15" customHeight="1"/>
    <row r="163" ht="15" customHeight="1"/>
    <row r="164" ht="15" customHeight="1"/>
  </sheetData>
  <sheetProtection algorithmName="SHA-512" hashValue="i6wzvcDDTwzNuNOzpK1bzeMXAtHYnhxdsNyTlp89EfHWL51hu23c/69eD+74BjAtLva8YctrvZl8mQdbdEt5Ow==" saltValue="uc26Xk5NXjJPgMyUbTvNBQ==" spinCount="100000" sheet="1" selectLockedCells="1"/>
  <mergeCells count="38">
    <mergeCell ref="B41:O42"/>
    <mergeCell ref="B8:C8"/>
    <mergeCell ref="B4:C4"/>
    <mergeCell ref="B5:C5"/>
    <mergeCell ref="B6:C6"/>
    <mergeCell ref="B7:C7"/>
    <mergeCell ref="B20:C20"/>
    <mergeCell ref="B9:C9"/>
    <mergeCell ref="B10:C10"/>
    <mergeCell ref="B11:C11"/>
    <mergeCell ref="B12:C12"/>
    <mergeCell ref="B13:C13"/>
    <mergeCell ref="B14:C14"/>
    <mergeCell ref="B15:C15"/>
    <mergeCell ref="B16:C16"/>
    <mergeCell ref="B17:C17"/>
    <mergeCell ref="B18:C18"/>
    <mergeCell ref="B19:C19"/>
    <mergeCell ref="B21:C21"/>
    <mergeCell ref="B22:C22"/>
    <mergeCell ref="B23:C23"/>
    <mergeCell ref="Q30:AI30"/>
    <mergeCell ref="X35:AA35"/>
    <mergeCell ref="AB35:AC35"/>
    <mergeCell ref="AE35:AH35"/>
    <mergeCell ref="B26:C26"/>
    <mergeCell ref="B28:C28"/>
    <mergeCell ref="AC40:AH40"/>
    <mergeCell ref="AC41:AH41"/>
    <mergeCell ref="AC42:AH42"/>
    <mergeCell ref="AC39:AH39"/>
    <mergeCell ref="AJ31:AK31"/>
    <mergeCell ref="Q37:AI37"/>
    <mergeCell ref="X32:AA32"/>
    <mergeCell ref="AB32:AC32"/>
    <mergeCell ref="AE32:AH32"/>
    <mergeCell ref="Q33:AI33"/>
    <mergeCell ref="Q31:AI31"/>
  </mergeCells>
  <conditionalFormatting sqref="D4:AH23">
    <cfRule type="expression" dxfId="59" priority="31">
      <formula>D$2</formula>
    </cfRule>
  </conditionalFormatting>
  <conditionalFormatting sqref="J4:J23">
    <cfRule type="expression" dxfId="58" priority="32">
      <formula>J$2</formula>
    </cfRule>
  </conditionalFormatting>
  <conditionalFormatting sqref="D3:AH3">
    <cfRule type="expression" dxfId="57" priority="30">
      <formula>MATCH(D3,INDIRECT("Fixed_weekdays[DateInYear]"),0)&gt;0</formula>
    </cfRule>
  </conditionalFormatting>
  <conditionalFormatting sqref="D3:AH3">
    <cfRule type="expression" dxfId="56" priority="29">
      <formula>MATCH(D3,INDIRECT("Fixed_dates[DateInYear]"),0)&gt;0</formula>
    </cfRule>
  </conditionalFormatting>
  <conditionalFormatting sqref="D3:AH3">
    <cfRule type="expression" dxfId="55" priority="28">
      <formula>AND(INDEX(INDIRECT("Shortened[WorkHours]"),MATCH(D3,INDIRECT("Shortened[DateInYear]"),0),0)&gt;0,INDEX(INDIRECT("Shortened[WorkHours]"),MATCH(D3,INDIRECT("Shortened[DateInYear]"),0),0)&lt;8)</formula>
    </cfRule>
  </conditionalFormatting>
  <conditionalFormatting sqref="D3:AH3">
    <cfRule type="expression" dxfId="54" priority="27">
      <formula>AND(INDEX(INDIRECT("Clamp[WorkHours]"),MATCH(C3,INDIRECT("Clamp[DateInYear]"),0),0)&gt;0,INDEX(INDIRECT("Clamp[WorkHours]"),MATCH(C3,INDIRECT("Clamp[DateInYear]"),0),0)&lt;8)</formula>
    </cfRule>
  </conditionalFormatting>
  <conditionalFormatting sqref="D3:AH3">
    <cfRule type="expression" dxfId="53" priority="25">
      <formula>INDEX(INDIRECT("Shortened[WorkHours]"),MATCH(D3,INDIRECT("Shortened[DateInYear]"),0),0)&gt;7</formula>
    </cfRule>
    <cfRule type="expression" dxfId="52" priority="26">
      <formula>INDEX(INDIRECT("Clamp[WorkHours]"),MATCH(D3,INDIRECT("Clamp[DateInYear]"),0),0)&gt;7</formula>
    </cfRule>
  </conditionalFormatting>
  <conditionalFormatting sqref="D3:AH3">
    <cfRule type="expression" dxfId="51" priority="24">
      <formula>OR(WEEKDAY(D3,2)=6,WEEKDAY(D3,2)=7)</formula>
    </cfRule>
  </conditionalFormatting>
  <conditionalFormatting sqref="J18:J22">
    <cfRule type="expression" dxfId="50" priority="23">
      <formula>J$2</formula>
    </cfRule>
  </conditionalFormatting>
  <conditionalFormatting sqref="B4:C22">
    <cfRule type="containsText" dxfId="49" priority="15" operator="containsText" text="Other US">
      <formula>NOT(ISERROR(SEARCH("Other US",B4)))</formula>
    </cfRule>
    <cfRule type="containsText" dxfId="48" priority="16" operator="containsText" text="US Army">
      <formula>NOT(ISERROR(SEARCH("US Army",B4)))</formula>
    </cfRule>
    <cfRule type="containsText" dxfId="47" priority="18" operator="containsText" text="NIH">
      <formula>NOT(ISERROR(SEARCH("NIH",B4)))</formula>
    </cfRule>
    <cfRule type="containsText" dxfId="46" priority="19" operator="containsText" text="FP7">
      <formula>NOT(ISERROR(SEARCH("FP7",B4)))</formula>
    </cfRule>
    <cfRule type="containsText" dxfId="45" priority="20" operator="containsText" text="H2020">
      <formula>NOT(ISERROR(SEARCH("H2020",B4)))</formula>
    </cfRule>
    <cfRule type="containsText" dxfId="44" priority="21" operator="containsText" text="Sida">
      <formula>NOT(ISERROR(SEARCH("Sida",B4)))</formula>
    </cfRule>
    <cfRule type="containsText" dxfId="43" priority="22" operator="containsText" text="Other">
      <formula>NOT(ISERROR(SEARCH("Other",B4)))</formula>
    </cfRule>
  </conditionalFormatting>
  <conditionalFormatting sqref="D25:AG25">
    <cfRule type="iconSet" priority="10">
      <iconSet iconSet="3Flags">
        <cfvo type="percent" val="0"/>
        <cfvo type="percent" val="33"/>
        <cfvo type="percent" val="67"/>
      </iconSet>
    </cfRule>
  </conditionalFormatting>
  <conditionalFormatting sqref="D25:AG25">
    <cfRule type="iconSet" priority="9">
      <iconSet iconSet="3Flags">
        <cfvo type="percent" val="0"/>
        <cfvo type="percent" val="33"/>
        <cfvo type="percent" val="67"/>
      </iconSet>
    </cfRule>
  </conditionalFormatting>
  <conditionalFormatting sqref="AJ31">
    <cfRule type="expression" dxfId="42" priority="5">
      <formula>AK$2</formula>
    </cfRule>
  </conditionalFormatting>
  <conditionalFormatting sqref="D26:AH26">
    <cfRule type="cellIs" dxfId="41" priority="1" operator="greaterThan">
      <formula>24</formula>
    </cfRule>
    <cfRule type="cellIs" dxfId="40" priority="2" operator="greaterThan">
      <formula>14</formula>
    </cfRule>
  </conditionalFormatting>
  <dataValidations count="1">
    <dataValidation type="decimal" allowBlank="1" showInputMessage="1" showErrorMessage="1" errorTitle="ERROR !" error="You may report min 0,5 and max 24 hrs per WP or Project" sqref="D4:AG23" xr:uid="{00000000-0002-0000-0E00-000000000000}">
      <formula1>0.5</formula1>
      <formula2>24</formula2>
    </dataValidation>
  </dataValidations>
  <printOptions horizontalCentered="1" verticalCentered="1"/>
  <pageMargins left="0.7" right="0.7" top="1.2072916666666667" bottom="0.75" header="0.45652173913043476" footer="0.3"/>
  <pageSetup paperSize="9" scale="51" orientation="landscape" r:id="rId1"/>
  <headerFooter>
    <oddHeader>&amp;L&amp;G&amp;C&amp;24TIMESHEET</oddHeader>
  </headerFooter>
  <legacyDrawingHF r:id="rId2"/>
  <extLst>
    <ext xmlns:x14="http://schemas.microsoft.com/office/spreadsheetml/2009/9/main" uri="{78C0D931-6437-407d-A8EE-F0AAD7539E65}">
      <x14:conditionalFormattings>
        <x14:conditionalFormatting xmlns:xm="http://schemas.microsoft.com/office/excel/2006/main">
          <x14:cfRule type="containsText" priority="17" operator="containsText" id="{52FAA29B-7FB3-4DBE-B145-E75BD390A50F}">
            <xm:f>NOT(ISERROR(SEARCH("Non-project",B4)))</xm:f>
            <xm:f>"Non-project"</xm:f>
            <x14:dxf>
              <fill>
                <patternFill>
                  <bgColor theme="6" tint="0.59996337778862885"/>
                </patternFill>
              </fill>
            </x14:dxf>
          </x14:cfRule>
          <xm:sqref>B4:C22</xm:sqref>
        </x14:conditionalFormatting>
        <x14:conditionalFormatting xmlns:xm="http://schemas.microsoft.com/office/excel/2006/main">
          <x14:cfRule type="iconSet" priority="8" id="{AEE0F08E-B6D4-44E5-94B3-503EA47ADC02}">
            <x14:iconSet iconSet="3Flags" showValue="0" custom="1">
              <x14:cfvo type="percent">
                <xm:f>0</xm:f>
              </x14:cfvo>
              <x14:cfvo type="num" gte="0">
                <xm:f>14</xm:f>
              </x14:cfvo>
              <x14:cfvo type="num" gte="0">
                <xm:f>24</xm:f>
              </x14:cfvo>
              <x14:cfIcon iconSet="NoIcons" iconId="0"/>
              <x14:cfIcon iconSet="3Flags" iconId="1"/>
              <x14:cfIcon iconSet="3Flags" iconId="0"/>
            </x14:iconSet>
          </x14:cfRule>
          <xm:sqref>D25:AG25</xm:sqref>
        </x14:conditionalFormatting>
        <x14:conditionalFormatting xmlns:xm="http://schemas.microsoft.com/office/excel/2006/main">
          <x14:cfRule type="iconSet" priority="4" id="{E4250514-5626-4660-833C-3E99FCC62C9C}">
            <x14:iconSet iconSet="3Flags" showValue="0" custom="1">
              <x14:cfvo type="percent">
                <xm:f>0</xm:f>
              </x14:cfvo>
              <x14:cfvo type="num">
                <xm:f>0</xm:f>
              </x14:cfvo>
              <x14:cfvo type="num" gte="0">
                <xm:f>0</xm:f>
              </x14:cfvo>
              <x14:cfIcon iconSet="NoIcons" iconId="0"/>
              <x14:cfIcon iconSet="NoIcons" iconId="0"/>
              <x14:cfIcon iconSet="3Flags" iconId="1"/>
            </x14:iconSet>
          </x14:cfRule>
          <xm:sqref>AJ32</xm:sqref>
        </x14:conditionalFormatting>
        <x14:conditionalFormatting xmlns:xm="http://schemas.microsoft.com/office/excel/2006/main">
          <x14:cfRule type="iconSet" priority="3" id="{13BED990-44AB-4EE0-BCAF-C2AD47F6C527}">
            <x14:iconSet iconSet="3Flags" showValue="0" custom="1">
              <x14:cfvo type="percent">
                <xm:f>0</xm:f>
              </x14:cfvo>
              <x14:cfvo type="num">
                <xm:f>0</xm:f>
              </x14:cfvo>
              <x14:cfvo type="num" gte="0">
                <xm:f>0</xm:f>
              </x14:cfvo>
              <x14:cfIcon iconSet="NoIcons" iconId="0"/>
              <x14:cfIcon iconSet="NoIcons" iconId="0"/>
              <x14:cfIcon iconSet="3Flags" iconId="0"/>
            </x14:iconSet>
          </x14:cfRule>
          <xm:sqref>AJ33</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Blad13">
    <tabColor theme="5" tint="-0.249977111117893"/>
    <pageSetUpPr fitToPage="1"/>
  </sheetPr>
  <dimension ref="B1:AO164"/>
  <sheetViews>
    <sheetView showGridLines="0" showZeros="0" zoomScale="40" zoomScaleNormal="40" workbookViewId="0">
      <selection activeCell="D4" sqref="D4"/>
    </sheetView>
  </sheetViews>
  <sheetFormatPr defaultColWidth="0" defaultRowHeight="15" customHeight="1" zeroHeight="1"/>
  <cols>
    <col min="1" max="1" width="1.54296875" style="12" customWidth="1"/>
    <col min="2" max="3" width="25.7265625" style="12" customWidth="1"/>
    <col min="4" max="34" width="5.1796875" style="12" customWidth="1"/>
    <col min="35" max="35" width="8.26953125" style="12" customWidth="1"/>
    <col min="36" max="36" width="7.26953125" style="12" bestFit="1" customWidth="1"/>
    <col min="37" max="37" width="29.453125" style="12" customWidth="1"/>
    <col min="38" max="38" width="5.7265625" style="118" customWidth="1"/>
    <col min="39" max="16383" width="9.1796875" style="12" customWidth="1"/>
    <col min="16384" max="16384" width="2.1796875" style="12" customWidth="1"/>
  </cols>
  <sheetData>
    <row r="1" spans="2:38" ht="21">
      <c r="B1" s="96" t="s">
        <v>85</v>
      </c>
      <c r="C1" s="96">
        <f>Year</f>
        <v>2021</v>
      </c>
      <c r="D1" s="97"/>
      <c r="E1" s="97"/>
      <c r="F1" s="97"/>
      <c r="G1" s="97"/>
      <c r="H1" s="97"/>
      <c r="I1" s="97"/>
      <c r="J1" s="97"/>
      <c r="K1" s="97"/>
      <c r="L1" s="97"/>
      <c r="M1" s="97"/>
      <c r="N1" s="114"/>
      <c r="O1" s="97"/>
      <c r="P1" s="98" t="s">
        <v>6</v>
      </c>
      <c r="Q1" s="99">
        <f>Member</f>
        <v>0</v>
      </c>
      <c r="R1" s="97"/>
      <c r="S1" s="48"/>
      <c r="T1" s="48"/>
      <c r="U1" s="48"/>
      <c r="V1" s="48"/>
      <c r="W1" s="48"/>
      <c r="X1" s="48"/>
      <c r="Y1" s="48"/>
      <c r="Z1" s="48"/>
      <c r="AA1" s="48"/>
      <c r="AB1" s="48"/>
      <c r="AC1" s="115"/>
      <c r="AD1" s="48"/>
      <c r="AE1" s="34"/>
      <c r="AF1" s="48"/>
      <c r="AG1" s="48"/>
      <c r="AH1" s="48"/>
      <c r="AI1" s="34"/>
      <c r="AJ1" s="34"/>
    </row>
    <row r="2" spans="2:38" ht="12.75" customHeight="1">
      <c r="B2" s="36"/>
      <c r="C2" s="50">
        <f>C39</f>
        <v>39</v>
      </c>
      <c r="D2" s="50" t="b">
        <f ca="1">OR(OR(WEEKDAY(D3,2)=6,WEEKDAY(D3,2)=7),IFERROR(INDEX(INDIRECT("Shortened[WorkHours]"),MATCH(D3,INDIRECT("Shortened[DateInYear]"),0),0),0)&gt;7,IFERROR(INDEX(INDIRECT("Clamp[WorkHours]"),MATCH(D3,INDIRECT("Clamp[DateInYear]"),0),0),0)&gt;7,IFERROR(MATCH(D3,INDIRECT("Fixed_dates[DateInYear]"),0),0)&gt;0,IFERROR(MATCH(D3,INDIRECT("Fixed_weekdays[DateInYear]"),0),0)&gt;0)</f>
        <v>0</v>
      </c>
      <c r="E2" s="50" t="b">
        <f t="shared" ref="E2:AH2" ca="1" si="0">OR(OR(WEEKDAY(E3,2)=6,WEEKDAY(E3,2)=7),IFERROR(INDEX(INDIRECT("Shortened[WorkHours]"),MATCH(E3,INDIRECT("Shortened[DateInYear]"),0),0),0)&gt;7,IFERROR(INDEX(INDIRECT("Clamp[WorkHours]"),MATCH(E3,INDIRECT("Clamp[DateInYear]"),0),0),0)&gt;7,IFERROR(MATCH(E3,INDIRECT("Fixed_dates[DateInYear]"),0),0)&gt;0,IFERROR(MATCH(E3,INDIRECT("Fixed_weekdays[DateInYear]"),0),0)&gt;0)</f>
        <v>0</v>
      </c>
      <c r="F2" s="50" t="b">
        <f t="shared" ca="1" si="0"/>
        <v>0</v>
      </c>
      <c r="G2" s="50" t="b">
        <f t="shared" ca="1" si="0"/>
        <v>1</v>
      </c>
      <c r="H2" s="50" t="b">
        <f t="shared" ca="1" si="0"/>
        <v>1</v>
      </c>
      <c r="I2" s="50" t="b">
        <f t="shared" ca="1" si="0"/>
        <v>0</v>
      </c>
      <c r="J2" s="50" t="b">
        <f t="shared" ca="1" si="0"/>
        <v>0</v>
      </c>
      <c r="K2" s="50" t="b">
        <f t="shared" ca="1" si="0"/>
        <v>0</v>
      </c>
      <c r="L2" s="50" t="b">
        <f t="shared" ca="1" si="0"/>
        <v>0</v>
      </c>
      <c r="M2" s="50" t="b">
        <f t="shared" ca="1" si="0"/>
        <v>0</v>
      </c>
      <c r="N2" s="50" t="b">
        <f t="shared" ca="1" si="0"/>
        <v>1</v>
      </c>
      <c r="O2" s="50" t="b">
        <f t="shared" ca="1" si="0"/>
        <v>1</v>
      </c>
      <c r="P2" s="50" t="b">
        <f t="shared" ca="1" si="0"/>
        <v>0</v>
      </c>
      <c r="Q2" s="50" t="b">
        <f t="shared" ca="1" si="0"/>
        <v>0</v>
      </c>
      <c r="R2" s="116" t="b">
        <f t="shared" ca="1" si="0"/>
        <v>0</v>
      </c>
      <c r="S2" s="50" t="b">
        <f t="shared" ca="1" si="0"/>
        <v>0</v>
      </c>
      <c r="T2" s="50" t="b">
        <f t="shared" ca="1" si="0"/>
        <v>0</v>
      </c>
      <c r="U2" s="50" t="b">
        <f t="shared" ca="1" si="0"/>
        <v>1</v>
      </c>
      <c r="V2" s="50" t="b">
        <f t="shared" ca="1" si="0"/>
        <v>1</v>
      </c>
      <c r="W2" s="50" t="b">
        <f t="shared" ca="1" si="0"/>
        <v>0</v>
      </c>
      <c r="X2" s="50" t="b">
        <f t="shared" ca="1" si="0"/>
        <v>0</v>
      </c>
      <c r="Y2" s="50" t="b">
        <f t="shared" ca="1" si="0"/>
        <v>0</v>
      </c>
      <c r="Z2" s="50" t="b">
        <f t="shared" ca="1" si="0"/>
        <v>0</v>
      </c>
      <c r="AA2" s="50" t="b">
        <f t="shared" ca="1" si="0"/>
        <v>1</v>
      </c>
      <c r="AB2" s="50" t="b">
        <f t="shared" ca="1" si="0"/>
        <v>1</v>
      </c>
      <c r="AC2" s="50" t="b">
        <f t="shared" ca="1" si="0"/>
        <v>1</v>
      </c>
      <c r="AD2" s="50" t="b">
        <f t="shared" ca="1" si="0"/>
        <v>0</v>
      </c>
      <c r="AE2" s="50" t="b">
        <f t="shared" ca="1" si="0"/>
        <v>0</v>
      </c>
      <c r="AF2" s="50" t="b">
        <f ca="1">OR(OR(WEEKDAY(AF3,2)=6,WEEKDAY(AF3,2)=7),IFERROR(INDEX(INDIRECT("Shortened[WorkHours]"),MATCH(AF3,INDIRECT("Shortened[DateInYear]"),0),0),0)&gt;7,IFERROR(INDEX(INDIRECT("Clamp[WorkHours]"),MATCH(AF3,INDIRECT("Clamp[DateInYear]"),0),0),0)&gt;7,IFERROR(MATCH(AF3,INDIRECT("Fixed_dates[DateInYear]"),0),0)&gt;0,IFERROR(MATCH(AF3,INDIRECT("Fixed_weekdays[DateInYear]"),0),0)&gt;0)</f>
        <v>0</v>
      </c>
      <c r="AG2" s="50" t="b">
        <f t="shared" ca="1" si="0"/>
        <v>0</v>
      </c>
      <c r="AH2" s="50" t="b">
        <f t="shared" ca="1" si="0"/>
        <v>1</v>
      </c>
      <c r="AI2" s="100"/>
      <c r="AJ2" s="117"/>
    </row>
    <row r="3" spans="2:38" ht="17.149999999999999" customHeight="1">
      <c r="B3" s="85" t="s">
        <v>74</v>
      </c>
      <c r="C3" s="86"/>
      <c r="D3" s="87">
        <f>DATEVALUE(AloxÅr&amp;"-"&amp;VLOOKUP(LEFT(B1,3),Holidays!$M$4:$N$15,2,0)&amp;"-1")</f>
        <v>44531</v>
      </c>
      <c r="E3" s="87">
        <f>DATE(YEAR(D3),MONTH(D3),DAY(D3)+1)</f>
        <v>44532</v>
      </c>
      <c r="F3" s="87">
        <f t="shared" ref="F3:AH3" si="1">DATE(YEAR(E3),MONTH(E3),DAY(E3)+1)</f>
        <v>44533</v>
      </c>
      <c r="G3" s="87">
        <f t="shared" si="1"/>
        <v>44534</v>
      </c>
      <c r="H3" s="87">
        <f t="shared" si="1"/>
        <v>44535</v>
      </c>
      <c r="I3" s="87">
        <f t="shared" si="1"/>
        <v>44536</v>
      </c>
      <c r="J3" s="87">
        <f t="shared" si="1"/>
        <v>44537</v>
      </c>
      <c r="K3" s="87">
        <f t="shared" si="1"/>
        <v>44538</v>
      </c>
      <c r="L3" s="87">
        <f t="shared" si="1"/>
        <v>44539</v>
      </c>
      <c r="M3" s="87">
        <f t="shared" si="1"/>
        <v>44540</v>
      </c>
      <c r="N3" s="87">
        <f t="shared" si="1"/>
        <v>44541</v>
      </c>
      <c r="O3" s="87">
        <f t="shared" si="1"/>
        <v>44542</v>
      </c>
      <c r="P3" s="87">
        <f t="shared" si="1"/>
        <v>44543</v>
      </c>
      <c r="Q3" s="87">
        <f t="shared" si="1"/>
        <v>44544</v>
      </c>
      <c r="R3" s="87">
        <f t="shared" si="1"/>
        <v>44545</v>
      </c>
      <c r="S3" s="87">
        <f t="shared" si="1"/>
        <v>44546</v>
      </c>
      <c r="T3" s="87">
        <f t="shared" si="1"/>
        <v>44547</v>
      </c>
      <c r="U3" s="87">
        <f t="shared" si="1"/>
        <v>44548</v>
      </c>
      <c r="V3" s="87">
        <f t="shared" si="1"/>
        <v>44549</v>
      </c>
      <c r="W3" s="87">
        <f t="shared" si="1"/>
        <v>44550</v>
      </c>
      <c r="X3" s="87">
        <f t="shared" si="1"/>
        <v>44551</v>
      </c>
      <c r="Y3" s="87">
        <f t="shared" si="1"/>
        <v>44552</v>
      </c>
      <c r="Z3" s="87">
        <f t="shared" si="1"/>
        <v>44553</v>
      </c>
      <c r="AA3" s="87">
        <f t="shared" si="1"/>
        <v>44554</v>
      </c>
      <c r="AB3" s="87">
        <f t="shared" si="1"/>
        <v>44555</v>
      </c>
      <c r="AC3" s="87">
        <f t="shared" si="1"/>
        <v>44556</v>
      </c>
      <c r="AD3" s="87">
        <f t="shared" si="1"/>
        <v>44557</v>
      </c>
      <c r="AE3" s="87">
        <f t="shared" si="1"/>
        <v>44558</v>
      </c>
      <c r="AF3" s="87">
        <f t="shared" si="1"/>
        <v>44559</v>
      </c>
      <c r="AG3" s="87">
        <f t="shared" si="1"/>
        <v>44560</v>
      </c>
      <c r="AH3" s="87">
        <f t="shared" si="1"/>
        <v>44561</v>
      </c>
      <c r="AI3" s="113" t="s">
        <v>3</v>
      </c>
      <c r="AJ3" s="113" t="s">
        <v>97</v>
      </c>
      <c r="AK3" s="183" t="s">
        <v>213</v>
      </c>
    </row>
    <row r="4" spans="2:38" s="64" customFormat="1" ht="17.149999999999999" customHeight="1">
      <c r="B4" s="327" t="str">
        <f>IFERROR(Project.01&amp;" "&amp;WP.01&amp;" "&amp;Contract.01&amp;" "&amp;Type.01&amp;" "&amp;Activity.01," ")</f>
        <v xml:space="preserve">    </v>
      </c>
      <c r="C4" s="327"/>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9">
        <f t="shared" ref="AI4:AI24" si="2">SUM(D4:AH4)</f>
        <v>0</v>
      </c>
      <c r="AJ4" s="111" t="str">
        <f t="shared" ref="AJ4:AJ23" si="3">IFERROR(AI4/$AI$26,"")</f>
        <v/>
      </c>
      <c r="AK4" s="188"/>
      <c r="AL4" s="119"/>
    </row>
    <row r="5" spans="2:38" s="64" customFormat="1" ht="17.149999999999999" customHeight="1">
      <c r="B5" s="327" t="str">
        <f>IFERROR(Project.02&amp;" "&amp;WP.02&amp;" "&amp;Contract.02&amp;" "&amp;Type.02&amp;" "&amp;Activity.02," ")</f>
        <v xml:space="preserve">    </v>
      </c>
      <c r="C5" s="327"/>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9">
        <f t="shared" si="2"/>
        <v>0</v>
      </c>
      <c r="AJ5" s="111" t="str">
        <f t="shared" si="3"/>
        <v/>
      </c>
      <c r="AK5" s="188"/>
      <c r="AL5" s="119"/>
    </row>
    <row r="6" spans="2:38" s="64" customFormat="1" ht="17.149999999999999" customHeight="1">
      <c r="B6" s="327" t="str">
        <f>IFERROR(Project.03&amp;" "&amp;WP.03&amp;" "&amp;Contract.03&amp;" "&amp;Type.03&amp;" "&amp;Activity.03," ")</f>
        <v xml:space="preserve">    </v>
      </c>
      <c r="C6" s="327"/>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9">
        <f t="shared" si="2"/>
        <v>0</v>
      </c>
      <c r="AJ6" s="111" t="str">
        <f t="shared" si="3"/>
        <v/>
      </c>
      <c r="AK6" s="188"/>
      <c r="AL6" s="119"/>
    </row>
    <row r="7" spans="2:38" s="64" customFormat="1" ht="17.149999999999999" customHeight="1">
      <c r="B7" s="327" t="str">
        <f>IFERROR(Project.04&amp;" "&amp;WP.04&amp;" "&amp;Contract.04&amp;" "&amp;Type.04&amp;" "&amp;Activity.04," ")</f>
        <v xml:space="preserve">    </v>
      </c>
      <c r="C7" s="327"/>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9">
        <f t="shared" si="2"/>
        <v>0</v>
      </c>
      <c r="AJ7" s="111" t="str">
        <f t="shared" si="3"/>
        <v/>
      </c>
      <c r="AK7" s="188"/>
      <c r="AL7" s="119"/>
    </row>
    <row r="8" spans="2:38" s="64" customFormat="1" ht="17.149999999999999" customHeight="1">
      <c r="B8" s="327" t="str">
        <f>IFERROR(Project.05&amp;" "&amp;WP.05&amp;" "&amp;Contract.05&amp;" "&amp;Type.05&amp;" "&amp;Activity.05," ")</f>
        <v xml:space="preserve">    </v>
      </c>
      <c r="C8" s="327"/>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9">
        <f t="shared" si="2"/>
        <v>0</v>
      </c>
      <c r="AJ8" s="111" t="str">
        <f t="shared" si="3"/>
        <v/>
      </c>
      <c r="AK8" s="188"/>
      <c r="AL8" s="119"/>
    </row>
    <row r="9" spans="2:38" s="64" customFormat="1" ht="17.149999999999999" customHeight="1">
      <c r="B9" s="327" t="str">
        <f>IFERROR(Project.06&amp;" "&amp;WP.06&amp;" "&amp;Contract.06&amp;" "&amp;Type.06&amp;" "&amp;Activity.06," ")</f>
        <v xml:space="preserve">    </v>
      </c>
      <c r="C9" s="327"/>
      <c r="D9" s="88"/>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9">
        <f t="shared" si="2"/>
        <v>0</v>
      </c>
      <c r="AJ9" s="111" t="str">
        <f t="shared" si="3"/>
        <v/>
      </c>
      <c r="AK9" s="188"/>
      <c r="AL9" s="119"/>
    </row>
    <row r="10" spans="2:38" s="64" customFormat="1" ht="17.149999999999999" customHeight="1">
      <c r="B10" s="327" t="str">
        <f>IFERROR(Project.07&amp;" "&amp;WP.07&amp;" "&amp;Contract.07&amp;" "&amp;Type.07&amp;" "&amp;Activity.07," ")</f>
        <v xml:space="preserve">    </v>
      </c>
      <c r="C10" s="327"/>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9">
        <f t="shared" si="2"/>
        <v>0</v>
      </c>
      <c r="AJ10" s="111" t="str">
        <f t="shared" si="3"/>
        <v/>
      </c>
      <c r="AK10" s="188"/>
      <c r="AL10" s="119"/>
    </row>
    <row r="11" spans="2:38" s="64" customFormat="1" ht="17.149999999999999" customHeight="1">
      <c r="B11" s="327" t="str">
        <f>IFERROR(Project.08&amp;" "&amp;WP.08&amp;" "&amp;Contract.08&amp;" "&amp;Type.08&amp;" "&amp;Activity.08," ")</f>
        <v xml:space="preserve">    </v>
      </c>
      <c r="C11" s="327"/>
      <c r="D11" s="88"/>
      <c r="E11" s="88"/>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9">
        <f t="shared" si="2"/>
        <v>0</v>
      </c>
      <c r="AJ11" s="111" t="str">
        <f t="shared" si="3"/>
        <v/>
      </c>
      <c r="AK11" s="188"/>
      <c r="AL11" s="119"/>
    </row>
    <row r="12" spans="2:38" s="64" customFormat="1" ht="17.149999999999999" customHeight="1">
      <c r="B12" s="327" t="str">
        <f>(Project.09&amp;" "&amp;WP.09&amp;" "&amp;Contract.09&amp;" "&amp;Type.09&amp;" "&amp;Activity.09)</f>
        <v xml:space="preserve">    </v>
      </c>
      <c r="C12" s="327"/>
      <c r="D12" s="88"/>
      <c r="E12" s="88"/>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9">
        <f t="shared" si="2"/>
        <v>0</v>
      </c>
      <c r="AJ12" s="111" t="str">
        <f t="shared" si="3"/>
        <v/>
      </c>
      <c r="AK12" s="188"/>
      <c r="AL12" s="119"/>
    </row>
    <row r="13" spans="2:38" s="64" customFormat="1" ht="17.149999999999999" customHeight="1">
      <c r="B13" s="327" t="str">
        <f>IFERROR(Project.10&amp;" "&amp;WP.10&amp;" "&amp;Contract.10&amp;" "&amp;Type.10&amp;" "&amp;Activity.10," ")</f>
        <v xml:space="preserve">    </v>
      </c>
      <c r="C13" s="327"/>
      <c r="D13" s="88"/>
      <c r="E13" s="88"/>
      <c r="F13" s="88"/>
      <c r="G13" s="88"/>
      <c r="H13" s="88"/>
      <c r="I13" s="88"/>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9">
        <f t="shared" si="2"/>
        <v>0</v>
      </c>
      <c r="AJ13" s="111" t="str">
        <f t="shared" si="3"/>
        <v/>
      </c>
      <c r="AK13" s="188"/>
      <c r="AL13" s="119"/>
    </row>
    <row r="14" spans="2:38" s="64" customFormat="1" ht="17.149999999999999" customHeight="1">
      <c r="B14" s="327" t="str">
        <f>IFERROR(Project.11&amp;" "&amp;WP.11&amp;" "&amp;Contract.11&amp;" "&amp;Type.11&amp;" "&amp;Activity.11," ")</f>
        <v xml:space="preserve">    </v>
      </c>
      <c r="C14" s="327"/>
      <c r="D14" s="88"/>
      <c r="E14" s="88"/>
      <c r="F14" s="88"/>
      <c r="G14" s="88"/>
      <c r="H14" s="88"/>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9">
        <f t="shared" si="2"/>
        <v>0</v>
      </c>
      <c r="AJ14" s="111" t="str">
        <f t="shared" si="3"/>
        <v/>
      </c>
      <c r="AK14" s="188"/>
      <c r="AL14" s="119"/>
    </row>
    <row r="15" spans="2:38" s="64" customFormat="1" ht="17.149999999999999" customHeight="1">
      <c r="B15" s="327" t="str">
        <f>IFERROR(Project.12&amp;" "&amp;WP.12&amp;" "&amp;Contract.12&amp;" "&amp;Type.12&amp;" "&amp;Activity.12," ")</f>
        <v xml:space="preserve">    </v>
      </c>
      <c r="C15" s="327"/>
      <c r="D15" s="88"/>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9">
        <f t="shared" si="2"/>
        <v>0</v>
      </c>
      <c r="AJ15" s="111" t="str">
        <f t="shared" si="3"/>
        <v/>
      </c>
      <c r="AK15" s="188"/>
      <c r="AL15" s="119"/>
    </row>
    <row r="16" spans="2:38" s="64" customFormat="1" ht="17.149999999999999" customHeight="1">
      <c r="B16" s="327" t="str">
        <f>IFERROR(Project.13&amp;" "&amp;WP.13&amp;" "&amp;Contract.13&amp;" "&amp;Type.13&amp;" "&amp;Activity.13," ")</f>
        <v xml:space="preserve">    </v>
      </c>
      <c r="C16" s="327"/>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9">
        <f t="shared" si="2"/>
        <v>0</v>
      </c>
      <c r="AJ16" s="111" t="str">
        <f t="shared" si="3"/>
        <v/>
      </c>
      <c r="AK16" s="188"/>
      <c r="AL16" s="119"/>
    </row>
    <row r="17" spans="2:41" s="64" customFormat="1" ht="17.149999999999999" customHeight="1">
      <c r="B17" s="327" t="str">
        <f>IFERROR(Project.14&amp;" "&amp;WP.14&amp;" "&amp;Contract.14&amp;" "&amp;Type.14&amp;" "&amp;Activity.14," ")</f>
        <v xml:space="preserve">    </v>
      </c>
      <c r="C17" s="327"/>
      <c r="D17" s="88"/>
      <c r="E17" s="88"/>
      <c r="F17" s="88"/>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9">
        <f t="shared" si="2"/>
        <v>0</v>
      </c>
      <c r="AJ17" s="111" t="str">
        <f t="shared" si="3"/>
        <v/>
      </c>
      <c r="AK17" s="188"/>
      <c r="AL17" s="119"/>
    </row>
    <row r="18" spans="2:41" s="64" customFormat="1" ht="17.149999999999999" customHeight="1">
      <c r="B18" s="327" t="str">
        <f>IFERROR(Project.15&amp;" "&amp;WP.15&amp;" "&amp;Contract.15&amp;" "&amp;Type.15&amp;" "&amp;Activity.15," ")</f>
        <v xml:space="preserve">    </v>
      </c>
      <c r="C18" s="327"/>
      <c r="D18" s="88"/>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9">
        <f t="shared" si="2"/>
        <v>0</v>
      </c>
      <c r="AJ18" s="111" t="str">
        <f t="shared" si="3"/>
        <v/>
      </c>
      <c r="AK18" s="188"/>
      <c r="AL18" s="119"/>
    </row>
    <row r="19" spans="2:41" s="64" customFormat="1" ht="17.149999999999999" customHeight="1">
      <c r="B19" s="327" t="str">
        <f>IFERROR(Project.16&amp;" "&amp;WP.16&amp;" "&amp;Contract.16&amp;" "&amp;Type.16&amp;" "&amp;Activity.16," ")</f>
        <v xml:space="preserve">    </v>
      </c>
      <c r="C19" s="327"/>
      <c r="D19" s="88"/>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9">
        <f t="shared" si="2"/>
        <v>0</v>
      </c>
      <c r="AJ19" s="111" t="str">
        <f t="shared" si="3"/>
        <v/>
      </c>
      <c r="AK19" s="188"/>
      <c r="AL19" s="119"/>
    </row>
    <row r="20" spans="2:41" s="64" customFormat="1" ht="17.149999999999999" customHeight="1">
      <c r="B20" s="327" t="str">
        <f>IFERROR(Project.17&amp;" "&amp;WP.17&amp;" "&amp;Contract.17&amp;" "&amp;Type.17&amp;" "&amp;Activity.17," ")</f>
        <v xml:space="preserve">    </v>
      </c>
      <c r="C20" s="327"/>
      <c r="D20" s="88"/>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9">
        <f t="shared" si="2"/>
        <v>0</v>
      </c>
      <c r="AJ20" s="111" t="str">
        <f t="shared" si="3"/>
        <v/>
      </c>
      <c r="AK20" s="188"/>
      <c r="AL20" s="119"/>
    </row>
    <row r="21" spans="2:41" s="64" customFormat="1" ht="17.149999999999999" customHeight="1">
      <c r="B21" s="327" t="str">
        <f>IFERROR(Project.18&amp;" "&amp;WP.18&amp;" "&amp;Contract.18&amp;" "&amp;Type.18&amp;" "&amp;Activity.18," ")</f>
        <v xml:space="preserve">    </v>
      </c>
      <c r="C21" s="327"/>
      <c r="D21" s="88"/>
      <c r="E21" s="88"/>
      <c r="F21" s="88"/>
      <c r="G21" s="88"/>
      <c r="H21" s="88"/>
      <c r="I21" s="88"/>
      <c r="J21" s="88"/>
      <c r="K21" s="88"/>
      <c r="L21" s="88"/>
      <c r="M21" s="88"/>
      <c r="N21" s="88"/>
      <c r="O21" s="88"/>
      <c r="P21" s="88"/>
      <c r="Q21" s="88"/>
      <c r="R21" s="88"/>
      <c r="S21" s="88"/>
      <c r="T21" s="88"/>
      <c r="U21" s="88"/>
      <c r="V21" s="88"/>
      <c r="W21" s="88"/>
      <c r="X21" s="88"/>
      <c r="Y21" s="88"/>
      <c r="Z21" s="88"/>
      <c r="AA21" s="88"/>
      <c r="AB21" s="88"/>
      <c r="AC21" s="88"/>
      <c r="AD21" s="88"/>
      <c r="AE21" s="88"/>
      <c r="AF21" s="88"/>
      <c r="AG21" s="88"/>
      <c r="AH21" s="88"/>
      <c r="AI21" s="89">
        <f t="shared" si="2"/>
        <v>0</v>
      </c>
      <c r="AJ21" s="111" t="str">
        <f t="shared" si="3"/>
        <v/>
      </c>
      <c r="AK21" s="188"/>
      <c r="AL21" s="119"/>
    </row>
    <row r="22" spans="2:41" s="64" customFormat="1" ht="17.149999999999999" customHeight="1">
      <c r="B22" s="327" t="str">
        <f>IFERROR(Project.19&amp;" "&amp;WP.19&amp;" "&amp;Contract.19&amp;" "&amp;Type.19&amp;" "&amp;Activity.19," ")</f>
        <v xml:space="preserve">    </v>
      </c>
      <c r="C22" s="327"/>
      <c r="D22" s="88"/>
      <c r="E22" s="88"/>
      <c r="F22" s="88"/>
      <c r="G22" s="88"/>
      <c r="H22" s="88"/>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9">
        <f t="shared" si="2"/>
        <v>0</v>
      </c>
      <c r="AJ22" s="111" t="str">
        <f t="shared" si="3"/>
        <v/>
      </c>
      <c r="AK22" s="188"/>
      <c r="AL22" s="119"/>
    </row>
    <row r="23" spans="2:41" s="64" customFormat="1" ht="17.149999999999999" customHeight="1">
      <c r="B23" s="328" t="str">
        <f>IFERROR(Project.20&amp;" "&amp;WP.20&amp;" "&amp;Contract.20&amp;" "&amp;Type.20&amp;" "&amp;Activity.20," ")</f>
        <v xml:space="preserve">OTHER HOURS WORKED    </v>
      </c>
      <c r="C23" s="328"/>
      <c r="D23" s="88"/>
      <c r="E23" s="88"/>
      <c r="F23" s="88"/>
      <c r="G23" s="88"/>
      <c r="H23" s="88"/>
      <c r="I23" s="88"/>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9">
        <f t="shared" si="2"/>
        <v>0</v>
      </c>
      <c r="AJ23" s="111" t="str">
        <f t="shared" si="3"/>
        <v/>
      </c>
      <c r="AK23" s="188"/>
      <c r="AL23" s="119"/>
    </row>
    <row r="24" spans="2:41" s="64" customFormat="1" ht="17.149999999999999" customHeight="1">
      <c r="B24" s="207" t="s">
        <v>239</v>
      </c>
      <c r="C24" s="81"/>
      <c r="D24" s="208"/>
      <c r="E24" s="208"/>
      <c r="F24" s="208"/>
      <c r="G24" s="208"/>
      <c r="H24" s="208"/>
      <c r="I24" s="208"/>
      <c r="J24" s="208"/>
      <c r="K24" s="208"/>
      <c r="L24" s="208"/>
      <c r="M24" s="208"/>
      <c r="N24" s="208"/>
      <c r="O24" s="208"/>
      <c r="P24" s="208"/>
      <c r="Q24" s="208"/>
      <c r="R24" s="208"/>
      <c r="S24" s="208"/>
      <c r="T24" s="208"/>
      <c r="U24" s="208"/>
      <c r="V24" s="208"/>
      <c r="W24" s="208"/>
      <c r="X24" s="208"/>
      <c r="Y24" s="208"/>
      <c r="Z24" s="208"/>
      <c r="AA24" s="208"/>
      <c r="AB24" s="208"/>
      <c r="AC24" s="208"/>
      <c r="AD24" s="208"/>
      <c r="AE24" s="208"/>
      <c r="AF24" s="208"/>
      <c r="AG24" s="208"/>
      <c r="AH24" s="208"/>
      <c r="AI24" s="148">
        <f t="shared" si="2"/>
        <v>0</v>
      </c>
      <c r="AJ24" s="149" t="str">
        <f>IFERROR(AI24/$AI$28,"")</f>
        <v/>
      </c>
      <c r="AK24" s="188"/>
      <c r="AL24" s="119"/>
    </row>
    <row r="25" spans="2:41" s="65" customFormat="1" ht="17.149999999999999" customHeight="1">
      <c r="B25" s="83" t="s">
        <v>56</v>
      </c>
      <c r="C25" s="84"/>
      <c r="D25" s="91">
        <v>1</v>
      </c>
      <c r="E25" s="91">
        <f t="shared" ref="E25:AH25" si="4">E26</f>
        <v>0</v>
      </c>
      <c r="F25" s="91">
        <f t="shared" si="4"/>
        <v>0</v>
      </c>
      <c r="G25" s="91">
        <f t="shared" si="4"/>
        <v>0</v>
      </c>
      <c r="H25" s="91">
        <f t="shared" si="4"/>
        <v>0</v>
      </c>
      <c r="I25" s="91">
        <f t="shared" si="4"/>
        <v>0</v>
      </c>
      <c r="J25" s="91">
        <f t="shared" si="4"/>
        <v>0</v>
      </c>
      <c r="K25" s="91">
        <f t="shared" si="4"/>
        <v>0</v>
      </c>
      <c r="L25" s="91">
        <f t="shared" si="4"/>
        <v>0</v>
      </c>
      <c r="M25" s="91">
        <f t="shared" si="4"/>
        <v>0</v>
      </c>
      <c r="N25" s="91">
        <f t="shared" si="4"/>
        <v>0</v>
      </c>
      <c r="O25" s="91">
        <f t="shared" si="4"/>
        <v>0</v>
      </c>
      <c r="P25" s="91">
        <f t="shared" si="4"/>
        <v>0</v>
      </c>
      <c r="Q25" s="91">
        <f t="shared" si="4"/>
        <v>0</v>
      </c>
      <c r="R25" s="91">
        <f t="shared" si="4"/>
        <v>0</v>
      </c>
      <c r="S25" s="91">
        <f t="shared" si="4"/>
        <v>0</v>
      </c>
      <c r="T25" s="91">
        <f t="shared" si="4"/>
        <v>0</v>
      </c>
      <c r="U25" s="91">
        <f t="shared" si="4"/>
        <v>0</v>
      </c>
      <c r="V25" s="91">
        <f t="shared" si="4"/>
        <v>0</v>
      </c>
      <c r="W25" s="91">
        <f t="shared" si="4"/>
        <v>0</v>
      </c>
      <c r="X25" s="91">
        <f t="shared" si="4"/>
        <v>0</v>
      </c>
      <c r="Y25" s="91">
        <f t="shared" si="4"/>
        <v>0</v>
      </c>
      <c r="Z25" s="91">
        <f t="shared" si="4"/>
        <v>0</v>
      </c>
      <c r="AA25" s="91">
        <f t="shared" si="4"/>
        <v>0</v>
      </c>
      <c r="AB25" s="91">
        <f t="shared" si="4"/>
        <v>0</v>
      </c>
      <c r="AC25" s="91">
        <f t="shared" si="4"/>
        <v>0</v>
      </c>
      <c r="AD25" s="91">
        <f t="shared" si="4"/>
        <v>0</v>
      </c>
      <c r="AE25" s="91">
        <f t="shared" si="4"/>
        <v>0</v>
      </c>
      <c r="AF25" s="91">
        <f t="shared" si="4"/>
        <v>0</v>
      </c>
      <c r="AG25" s="91">
        <f t="shared" si="4"/>
        <v>0</v>
      </c>
      <c r="AH25" s="91">
        <f t="shared" si="4"/>
        <v>0</v>
      </c>
      <c r="AI25" s="92"/>
      <c r="AJ25" s="82"/>
      <c r="AL25" s="120"/>
    </row>
    <row r="26" spans="2:41" s="64" customFormat="1" ht="17.149999999999999" customHeight="1">
      <c r="B26" s="318" t="s">
        <v>4</v>
      </c>
      <c r="C26" s="319"/>
      <c r="D26" s="93">
        <f>SUM(D4:D23)</f>
        <v>0</v>
      </c>
      <c r="E26" s="93">
        <f t="shared" ref="E26:AH26" si="5">SUM(E4:E23)</f>
        <v>0</v>
      </c>
      <c r="F26" s="93">
        <f t="shared" si="5"/>
        <v>0</v>
      </c>
      <c r="G26" s="93">
        <f t="shared" si="5"/>
        <v>0</v>
      </c>
      <c r="H26" s="93">
        <f t="shared" si="5"/>
        <v>0</v>
      </c>
      <c r="I26" s="93">
        <f t="shared" si="5"/>
        <v>0</v>
      </c>
      <c r="J26" s="93">
        <f>SUM(J4:J23)</f>
        <v>0</v>
      </c>
      <c r="K26" s="93">
        <f t="shared" si="5"/>
        <v>0</v>
      </c>
      <c r="L26" s="93">
        <f t="shared" si="5"/>
        <v>0</v>
      </c>
      <c r="M26" s="93">
        <f t="shared" si="5"/>
        <v>0</v>
      </c>
      <c r="N26" s="93">
        <f t="shared" si="5"/>
        <v>0</v>
      </c>
      <c r="O26" s="93">
        <f t="shared" si="5"/>
        <v>0</v>
      </c>
      <c r="P26" s="93">
        <f t="shared" si="5"/>
        <v>0</v>
      </c>
      <c r="Q26" s="93">
        <f t="shared" si="5"/>
        <v>0</v>
      </c>
      <c r="R26" s="93">
        <f t="shared" si="5"/>
        <v>0</v>
      </c>
      <c r="S26" s="93">
        <f t="shared" si="5"/>
        <v>0</v>
      </c>
      <c r="T26" s="93">
        <f t="shared" si="5"/>
        <v>0</v>
      </c>
      <c r="U26" s="93">
        <f t="shared" si="5"/>
        <v>0</v>
      </c>
      <c r="V26" s="93">
        <f t="shared" si="5"/>
        <v>0</v>
      </c>
      <c r="W26" s="93">
        <f t="shared" si="5"/>
        <v>0</v>
      </c>
      <c r="X26" s="93">
        <f t="shared" si="5"/>
        <v>0</v>
      </c>
      <c r="Y26" s="93">
        <f t="shared" si="5"/>
        <v>0</v>
      </c>
      <c r="Z26" s="93">
        <f t="shared" si="5"/>
        <v>0</v>
      </c>
      <c r="AA26" s="93">
        <f t="shared" si="5"/>
        <v>0</v>
      </c>
      <c r="AB26" s="93">
        <f t="shared" si="5"/>
        <v>0</v>
      </c>
      <c r="AC26" s="93">
        <f t="shared" si="5"/>
        <v>0</v>
      </c>
      <c r="AD26" s="93">
        <f t="shared" si="5"/>
        <v>0</v>
      </c>
      <c r="AE26" s="93">
        <f t="shared" si="5"/>
        <v>0</v>
      </c>
      <c r="AF26" s="93">
        <f t="shared" si="5"/>
        <v>0</v>
      </c>
      <c r="AG26" s="93">
        <f t="shared" si="5"/>
        <v>0</v>
      </c>
      <c r="AH26" s="93">
        <f t="shared" si="5"/>
        <v>0</v>
      </c>
      <c r="AI26" s="94">
        <f>SUM(D26:AH26)</f>
        <v>0</v>
      </c>
      <c r="AJ26" s="82"/>
      <c r="AK26" s="12"/>
      <c r="AL26" s="12"/>
      <c r="AM26" s="12"/>
      <c r="AN26" s="12"/>
      <c r="AO26" s="12"/>
    </row>
    <row r="27" spans="2:41" s="65" customFormat="1" ht="17.149999999999999" customHeight="1">
      <c r="B27" s="83" t="s">
        <v>56</v>
      </c>
      <c r="C27" s="84"/>
      <c r="D27" s="91"/>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2"/>
      <c r="AJ27" s="84"/>
      <c r="AK27" s="12"/>
      <c r="AL27" s="12"/>
      <c r="AM27" s="12"/>
      <c r="AN27" s="12"/>
      <c r="AO27" s="12"/>
    </row>
    <row r="28" spans="2:41" s="64" customFormat="1" ht="17.149999999999999" customHeight="1">
      <c r="B28" s="318" t="s">
        <v>5</v>
      </c>
      <c r="C28" s="319"/>
      <c r="D28" s="93">
        <f t="shared" ref="D28:AG28" si="6">SUM(D4:D24)</f>
        <v>0</v>
      </c>
      <c r="E28" s="93">
        <f t="shared" si="6"/>
        <v>0</v>
      </c>
      <c r="F28" s="93">
        <f t="shared" si="6"/>
        <v>0</v>
      </c>
      <c r="G28" s="93">
        <f t="shared" si="6"/>
        <v>0</v>
      </c>
      <c r="H28" s="93">
        <f t="shared" si="6"/>
        <v>0</v>
      </c>
      <c r="I28" s="93">
        <f t="shared" si="6"/>
        <v>0</v>
      </c>
      <c r="J28" s="93">
        <f>SUM(J4:J24)</f>
        <v>0</v>
      </c>
      <c r="K28" s="93">
        <f t="shared" si="6"/>
        <v>0</v>
      </c>
      <c r="L28" s="93">
        <f t="shared" si="6"/>
        <v>0</v>
      </c>
      <c r="M28" s="93">
        <f t="shared" si="6"/>
        <v>0</v>
      </c>
      <c r="N28" s="93">
        <f t="shared" si="6"/>
        <v>0</v>
      </c>
      <c r="O28" s="93">
        <f t="shared" si="6"/>
        <v>0</v>
      </c>
      <c r="P28" s="93">
        <f t="shared" si="6"/>
        <v>0</v>
      </c>
      <c r="Q28" s="93">
        <f t="shared" si="6"/>
        <v>0</v>
      </c>
      <c r="R28" s="93">
        <f t="shared" si="6"/>
        <v>0</v>
      </c>
      <c r="S28" s="93">
        <f t="shared" si="6"/>
        <v>0</v>
      </c>
      <c r="T28" s="93">
        <f t="shared" si="6"/>
        <v>0</v>
      </c>
      <c r="U28" s="93">
        <f t="shared" si="6"/>
        <v>0</v>
      </c>
      <c r="V28" s="93">
        <f t="shared" si="6"/>
        <v>0</v>
      </c>
      <c r="W28" s="93">
        <f t="shared" si="6"/>
        <v>0</v>
      </c>
      <c r="X28" s="93">
        <f t="shared" si="6"/>
        <v>0</v>
      </c>
      <c r="Y28" s="93">
        <f t="shared" si="6"/>
        <v>0</v>
      </c>
      <c r="Z28" s="93">
        <f t="shared" si="6"/>
        <v>0</v>
      </c>
      <c r="AA28" s="93">
        <f t="shared" si="6"/>
        <v>0</v>
      </c>
      <c r="AB28" s="93">
        <f t="shared" si="6"/>
        <v>0</v>
      </c>
      <c r="AC28" s="93">
        <f t="shared" si="6"/>
        <v>0</v>
      </c>
      <c r="AD28" s="93">
        <f t="shared" si="6"/>
        <v>0</v>
      </c>
      <c r="AE28" s="93">
        <f t="shared" si="6"/>
        <v>0</v>
      </c>
      <c r="AF28" s="93">
        <f t="shared" si="6"/>
        <v>0</v>
      </c>
      <c r="AG28" s="93">
        <f t="shared" si="6"/>
        <v>0</v>
      </c>
      <c r="AH28" s="93">
        <f t="shared" ref="AH28" si="7">SUM(AH4:AH24)</f>
        <v>0</v>
      </c>
      <c r="AI28" s="94">
        <f>SUM(D28:AH28)</f>
        <v>0</v>
      </c>
      <c r="AJ28" s="82"/>
      <c r="AL28" s="119"/>
    </row>
    <row r="29" spans="2:41" ht="17.25" customHeight="1">
      <c r="B29" s="53" t="s">
        <v>56</v>
      </c>
      <c r="C29" s="54"/>
      <c r="D29" s="47"/>
      <c r="E29" s="47"/>
      <c r="F29" s="47"/>
      <c r="G29" s="47"/>
      <c r="H29" s="47"/>
      <c r="I29" s="47"/>
      <c r="J29" s="47"/>
      <c r="K29" s="47"/>
      <c r="L29" s="47"/>
      <c r="M29" s="47"/>
      <c r="N29" s="47"/>
      <c r="O29" s="47"/>
      <c r="P29" s="47"/>
      <c r="Q29" s="47"/>
      <c r="R29" s="47"/>
      <c r="S29" s="47"/>
      <c r="T29" s="47"/>
      <c r="U29" s="47"/>
      <c r="V29" s="55"/>
      <c r="W29" s="55"/>
      <c r="X29" s="55"/>
      <c r="Y29" s="55"/>
      <c r="Z29" s="55"/>
      <c r="AA29" s="55"/>
      <c r="AB29" s="55"/>
      <c r="AC29" s="55"/>
      <c r="AD29" s="55"/>
      <c r="AE29" s="55"/>
      <c r="AF29" s="55"/>
      <c r="AG29" s="55"/>
      <c r="AH29" s="55"/>
      <c r="AI29" s="56"/>
      <c r="AJ29" s="11"/>
    </row>
    <row r="30" spans="2:41" ht="17.25" customHeight="1">
      <c r="B30" s="101" t="s">
        <v>8</v>
      </c>
      <c r="C30" s="102"/>
      <c r="D30" s="102"/>
      <c r="E30" s="102"/>
      <c r="F30" s="102"/>
      <c r="G30" s="103" t="s">
        <v>9</v>
      </c>
      <c r="H30" s="102"/>
      <c r="I30" s="11"/>
      <c r="J30" s="57"/>
      <c r="K30" s="11"/>
      <c r="L30" s="75"/>
      <c r="M30" s="11"/>
      <c r="N30" s="11"/>
      <c r="O30" s="11"/>
      <c r="P30" s="11"/>
      <c r="Q30" s="331" t="str">
        <f>'Start page'!D30</f>
        <v>• Missing information – Enter Project Acronym/name</v>
      </c>
      <c r="R30" s="331"/>
      <c r="S30" s="331"/>
      <c r="T30" s="331"/>
      <c r="U30" s="331"/>
      <c r="V30" s="331"/>
      <c r="W30" s="331"/>
      <c r="X30" s="331"/>
      <c r="Y30" s="331"/>
      <c r="Z30" s="331"/>
      <c r="AA30" s="331"/>
      <c r="AB30" s="331"/>
      <c r="AC30" s="331"/>
      <c r="AD30" s="331"/>
      <c r="AE30" s="331"/>
      <c r="AF30" s="331"/>
      <c r="AG30" s="331"/>
      <c r="AH30" s="331"/>
      <c r="AI30" s="331"/>
      <c r="AJ30" s="58"/>
    </row>
    <row r="31" spans="2:41" ht="15.5">
      <c r="B31" s="104" t="s">
        <v>56</v>
      </c>
      <c r="C31" s="95"/>
      <c r="D31" s="95"/>
      <c r="E31" s="95"/>
      <c r="F31" s="102"/>
      <c r="G31" s="95"/>
      <c r="H31" s="95"/>
      <c r="I31" s="11"/>
      <c r="J31" s="47"/>
      <c r="K31" s="47"/>
      <c r="L31" s="76"/>
      <c r="M31" s="47"/>
      <c r="N31" s="47"/>
      <c r="O31" s="47"/>
      <c r="P31" s="47"/>
      <c r="Q31" s="331"/>
      <c r="R31" s="331"/>
      <c r="S31" s="331"/>
      <c r="T31" s="331"/>
      <c r="U31" s="331"/>
      <c r="V31" s="331"/>
      <c r="W31" s="331"/>
      <c r="X31" s="331"/>
      <c r="Y31" s="331"/>
      <c r="Z31" s="331"/>
      <c r="AA31" s="331"/>
      <c r="AB31" s="331"/>
      <c r="AC31" s="331"/>
      <c r="AD31" s="331"/>
      <c r="AE31" s="331"/>
      <c r="AF31" s="331"/>
      <c r="AG31" s="331"/>
      <c r="AH31" s="331"/>
      <c r="AI31" s="331"/>
      <c r="AJ31" s="325" t="s">
        <v>230</v>
      </c>
      <c r="AK31" s="326"/>
    </row>
    <row r="32" spans="2:41" ht="15.5">
      <c r="B32" s="105" t="s">
        <v>56</v>
      </c>
      <c r="C32" s="106"/>
      <c r="D32" s="106"/>
      <c r="E32" s="95"/>
      <c r="F32" s="102"/>
      <c r="G32" s="106"/>
      <c r="H32" s="107"/>
      <c r="I32" s="61"/>
      <c r="J32" s="61"/>
      <c r="K32" s="61"/>
      <c r="L32" s="61"/>
      <c r="M32" s="61"/>
      <c r="N32" s="61"/>
      <c r="O32" s="47"/>
      <c r="P32" s="47"/>
      <c r="Q32" s="65"/>
      <c r="R32" s="65"/>
      <c r="S32" s="47"/>
      <c r="T32" s="47"/>
      <c r="U32" s="47"/>
      <c r="V32" s="47"/>
      <c r="W32" s="47"/>
      <c r="X32" s="316"/>
      <c r="Y32" s="316"/>
      <c r="Z32" s="316"/>
      <c r="AA32" s="316"/>
      <c r="AB32" s="317"/>
      <c r="AC32" s="317"/>
      <c r="AD32" s="58"/>
      <c r="AE32" s="316"/>
      <c r="AF32" s="316"/>
      <c r="AG32" s="316"/>
      <c r="AH32" s="316"/>
      <c r="AI32" s="77"/>
      <c r="AJ32" s="195">
        <v>1</v>
      </c>
      <c r="AK32" s="196" t="s">
        <v>234</v>
      </c>
    </row>
    <row r="33" spans="2:37" ht="15.5">
      <c r="B33" s="108">
        <f>Member</f>
        <v>0</v>
      </c>
      <c r="C33" s="95"/>
      <c r="D33" s="95"/>
      <c r="E33" s="95"/>
      <c r="F33" s="102"/>
      <c r="G33" s="95">
        <f>Supervisor</f>
        <v>0</v>
      </c>
      <c r="H33" s="102"/>
      <c r="I33" s="11"/>
      <c r="J33" s="47"/>
      <c r="K33" s="47"/>
      <c r="L33" s="47"/>
      <c r="M33" s="47"/>
      <c r="N33" s="47"/>
      <c r="O33" s="47"/>
      <c r="P33" s="47"/>
      <c r="Q33" s="331" t="str">
        <f>'Start page'!D6</f>
        <v>• Missing information – Fill in all names and title/function on the Start Page</v>
      </c>
      <c r="R33" s="331"/>
      <c r="S33" s="331"/>
      <c r="T33" s="331"/>
      <c r="U33" s="331"/>
      <c r="V33" s="331"/>
      <c r="W33" s="331"/>
      <c r="X33" s="331"/>
      <c r="Y33" s="331"/>
      <c r="Z33" s="331"/>
      <c r="AA33" s="331"/>
      <c r="AB33" s="331"/>
      <c r="AC33" s="331"/>
      <c r="AD33" s="331"/>
      <c r="AE33" s="331"/>
      <c r="AF33" s="331"/>
      <c r="AG33" s="331"/>
      <c r="AH33" s="331"/>
      <c r="AI33" s="331"/>
      <c r="AJ33" s="197">
        <v>2</v>
      </c>
      <c r="AK33" s="198" t="s">
        <v>231</v>
      </c>
    </row>
    <row r="34" spans="2:37" ht="18.75" customHeight="1">
      <c r="B34" s="109">
        <f>Title.member</f>
        <v>0</v>
      </c>
      <c r="C34" s="102"/>
      <c r="D34" s="95"/>
      <c r="E34" s="102"/>
      <c r="F34" s="102"/>
      <c r="G34" s="102">
        <f>Title.supervisor</f>
        <v>0</v>
      </c>
      <c r="H34" s="95"/>
      <c r="I34" s="11"/>
      <c r="J34" s="60"/>
      <c r="K34" s="11"/>
      <c r="L34" s="11"/>
      <c r="M34" s="11"/>
      <c r="N34" s="11"/>
      <c r="O34" s="47"/>
      <c r="P34" s="47"/>
      <c r="Q34" s="65"/>
      <c r="R34" s="65"/>
      <c r="S34" s="47"/>
      <c r="T34" s="47"/>
      <c r="U34" s="47"/>
      <c r="V34" s="47"/>
      <c r="W34" s="47"/>
      <c r="X34" s="179"/>
      <c r="Y34" s="179"/>
      <c r="Z34" s="179"/>
      <c r="AA34" s="179"/>
      <c r="AB34" s="180"/>
      <c r="AC34" s="180"/>
      <c r="AD34" s="58"/>
      <c r="AE34" s="181"/>
      <c r="AF34" s="181"/>
      <c r="AG34" s="181"/>
      <c r="AH34" s="181"/>
      <c r="AI34" s="59"/>
      <c r="AJ34" s="62"/>
    </row>
    <row r="35" spans="2:37" ht="18.75" customHeight="1">
      <c r="B35" s="109" t="s">
        <v>72</v>
      </c>
      <c r="C35" s="102"/>
      <c r="D35" s="95"/>
      <c r="E35" s="102"/>
      <c r="F35" s="102"/>
      <c r="G35" s="102" t="s">
        <v>73</v>
      </c>
      <c r="H35" s="95"/>
      <c r="I35" s="11"/>
      <c r="J35" s="60"/>
      <c r="K35" s="11"/>
      <c r="L35" s="11"/>
      <c r="M35" s="11"/>
      <c r="N35" s="11"/>
      <c r="O35" s="47"/>
      <c r="P35" s="47"/>
      <c r="Q35" s="65"/>
      <c r="R35" s="65"/>
      <c r="S35" s="47"/>
      <c r="T35" s="47"/>
      <c r="U35" s="47"/>
      <c r="V35" s="47"/>
      <c r="W35" s="47"/>
      <c r="X35" s="316"/>
      <c r="Y35" s="316"/>
      <c r="Z35" s="316"/>
      <c r="AA35" s="316"/>
      <c r="AB35" s="317"/>
      <c r="AC35" s="317"/>
      <c r="AD35" s="58"/>
      <c r="AE35" s="320"/>
      <c r="AF35" s="320"/>
      <c r="AG35" s="320"/>
      <c r="AH35" s="320"/>
      <c r="AI35" s="59"/>
      <c r="AJ35" s="62"/>
    </row>
    <row r="36" spans="2:37" ht="12" customHeight="1">
      <c r="B36" s="109"/>
      <c r="C36" s="102"/>
      <c r="D36" s="95"/>
      <c r="E36" s="102"/>
      <c r="F36" s="102"/>
      <c r="G36" s="102"/>
      <c r="H36" s="95"/>
      <c r="I36" s="11"/>
      <c r="J36" s="60"/>
      <c r="K36" s="11"/>
      <c r="L36" s="11"/>
      <c r="M36" s="11"/>
      <c r="N36" s="11"/>
      <c r="O36" s="47"/>
      <c r="P36" s="47"/>
      <c r="Q36" s="65"/>
      <c r="R36" s="65"/>
      <c r="S36" s="47"/>
      <c r="T36" s="47"/>
      <c r="U36" s="47"/>
      <c r="V36" s="47"/>
      <c r="W36" s="47"/>
      <c r="X36" s="77"/>
      <c r="Y36" s="77"/>
      <c r="Z36" s="77"/>
      <c r="AA36" s="77"/>
      <c r="AB36" s="78"/>
      <c r="AC36" s="78"/>
      <c r="AD36" s="58"/>
      <c r="AE36" s="79"/>
      <c r="AF36" s="79"/>
      <c r="AG36" s="79"/>
      <c r="AH36" s="79"/>
      <c r="AI36" s="59"/>
      <c r="AJ36" s="62"/>
    </row>
    <row r="37" spans="2:37" ht="23.25" customHeight="1">
      <c r="B37" s="105" t="s">
        <v>56</v>
      </c>
      <c r="C37" s="95"/>
      <c r="D37" s="106"/>
      <c r="E37" s="102"/>
      <c r="F37" s="102"/>
      <c r="G37" s="106"/>
      <c r="H37" s="110" t="s">
        <v>56</v>
      </c>
      <c r="I37" s="61"/>
      <c r="J37" s="61"/>
      <c r="K37" s="61"/>
      <c r="L37" s="61"/>
      <c r="M37" s="61"/>
      <c r="N37" s="61"/>
      <c r="O37" s="47"/>
      <c r="P37" s="47"/>
      <c r="Q37" s="331" t="str">
        <f>'Start page'!D29</f>
        <v/>
      </c>
      <c r="R37" s="331"/>
      <c r="S37" s="331"/>
      <c r="T37" s="331"/>
      <c r="U37" s="331"/>
      <c r="V37" s="331"/>
      <c r="W37" s="331"/>
      <c r="X37" s="331"/>
      <c r="Y37" s="331"/>
      <c r="Z37" s="331"/>
      <c r="AA37" s="331"/>
      <c r="AB37" s="331"/>
      <c r="AC37" s="331"/>
      <c r="AD37" s="331"/>
      <c r="AE37" s="331"/>
      <c r="AF37" s="331"/>
      <c r="AG37" s="331"/>
      <c r="AH37" s="331"/>
      <c r="AI37" s="331"/>
      <c r="AJ37" s="47"/>
    </row>
    <row r="38" spans="2:37" ht="19.5" customHeight="1">
      <c r="B38" s="108" t="s">
        <v>1</v>
      </c>
      <c r="C38" s="108"/>
      <c r="D38" s="95"/>
      <c r="E38" s="102"/>
      <c r="F38" s="102"/>
      <c r="G38" s="95" t="s">
        <v>1</v>
      </c>
      <c r="H38" s="102"/>
      <c r="I38" s="47"/>
      <c r="J38" s="47"/>
      <c r="K38" s="47"/>
      <c r="L38" s="47"/>
      <c r="M38" s="47"/>
      <c r="N38" s="47"/>
      <c r="O38" s="47"/>
      <c r="P38" s="47"/>
      <c r="Q38" s="47"/>
      <c r="R38" s="65"/>
      <c r="S38" s="47"/>
      <c r="T38" s="47"/>
      <c r="U38" s="47"/>
      <c r="V38" s="47"/>
      <c r="W38" s="77"/>
      <c r="X38" s="77"/>
      <c r="Y38" s="77"/>
      <c r="Z38" s="77"/>
      <c r="AA38" s="79"/>
      <c r="AB38" s="79"/>
      <c r="AC38" s="77"/>
      <c r="AD38" s="77"/>
      <c r="AE38" s="77"/>
      <c r="AF38" s="77"/>
      <c r="AG38" s="77"/>
      <c r="AH38" s="77"/>
      <c r="AI38" s="47"/>
      <c r="AJ38" s="11"/>
    </row>
    <row r="39" spans="2:37" ht="14.5">
      <c r="B39" s="37" t="s">
        <v>56</v>
      </c>
      <c r="C39" s="37">
        <f>ROW()</f>
        <v>39</v>
      </c>
      <c r="D39" s="64"/>
      <c r="E39" s="64"/>
      <c r="F39" s="64"/>
      <c r="G39" s="64"/>
      <c r="H39" s="64"/>
      <c r="I39" s="64"/>
      <c r="J39" s="64"/>
      <c r="K39" s="64"/>
      <c r="L39" s="64"/>
      <c r="M39" s="64"/>
      <c r="N39" s="64"/>
      <c r="O39" s="64"/>
      <c r="P39" s="65"/>
      <c r="Q39" s="65"/>
      <c r="R39" s="65"/>
      <c r="S39" s="65"/>
      <c r="T39" s="65"/>
      <c r="U39" s="65"/>
      <c r="V39" s="65"/>
      <c r="W39" s="65"/>
      <c r="X39" s="65"/>
      <c r="Y39" s="65"/>
      <c r="Z39" s="65"/>
      <c r="AA39" s="65"/>
      <c r="AB39" s="65"/>
      <c r="AC39" s="314"/>
      <c r="AD39" s="322"/>
      <c r="AE39" s="322"/>
      <c r="AF39" s="322"/>
      <c r="AG39" s="322"/>
      <c r="AH39" s="322"/>
      <c r="AI39" s="65"/>
    </row>
    <row r="40" spans="2:37" ht="14.5" customHeight="1">
      <c r="P40" s="34"/>
      <c r="Q40" s="34"/>
      <c r="R40" s="34"/>
      <c r="S40" s="34"/>
      <c r="T40" s="34"/>
      <c r="U40" s="34"/>
      <c r="V40" s="34"/>
      <c r="W40" s="34"/>
      <c r="X40" s="34"/>
      <c r="Y40" s="34"/>
      <c r="Z40" s="34"/>
      <c r="AA40" s="34"/>
      <c r="AB40" s="34"/>
      <c r="AC40" s="323"/>
      <c r="AD40" s="324"/>
      <c r="AE40" s="324"/>
      <c r="AF40" s="324"/>
      <c r="AG40" s="324"/>
      <c r="AH40" s="324"/>
      <c r="AI40" s="34"/>
    </row>
    <row r="41" spans="2:37" ht="14.5">
      <c r="B41" s="306" t="s">
        <v>235</v>
      </c>
      <c r="C41" s="307"/>
      <c r="D41" s="307"/>
      <c r="E41" s="307"/>
      <c r="F41" s="307"/>
      <c r="G41" s="308"/>
      <c r="H41" s="308"/>
      <c r="I41" s="309"/>
      <c r="J41" s="309"/>
      <c r="K41" s="309"/>
      <c r="L41" s="309"/>
      <c r="M41" s="309"/>
      <c r="N41" s="309"/>
      <c r="O41" s="310"/>
      <c r="P41" s="34"/>
      <c r="Q41" s="34"/>
      <c r="R41" s="34"/>
      <c r="S41" s="34"/>
      <c r="T41" s="34"/>
      <c r="U41" s="34"/>
      <c r="V41" s="34"/>
      <c r="W41" s="34"/>
      <c r="X41" s="34"/>
      <c r="Y41" s="34"/>
      <c r="Z41" s="34"/>
      <c r="AA41" s="34"/>
      <c r="AB41" s="34"/>
      <c r="AC41" s="314"/>
      <c r="AD41" s="315"/>
      <c r="AE41" s="315"/>
      <c r="AF41" s="315"/>
      <c r="AG41" s="315"/>
      <c r="AH41" s="315"/>
      <c r="AI41" s="34"/>
    </row>
    <row r="42" spans="2:37" ht="14.5">
      <c r="B42" s="311"/>
      <c r="C42" s="312"/>
      <c r="D42" s="312"/>
      <c r="E42" s="312"/>
      <c r="F42" s="312"/>
      <c r="G42" s="312"/>
      <c r="H42" s="312"/>
      <c r="I42" s="312"/>
      <c r="J42" s="312"/>
      <c r="K42" s="312"/>
      <c r="L42" s="312"/>
      <c r="M42" s="312"/>
      <c r="N42" s="312"/>
      <c r="O42" s="313"/>
      <c r="P42" s="34"/>
      <c r="Q42" s="34"/>
      <c r="R42" s="34"/>
      <c r="S42" s="34"/>
      <c r="T42" s="34"/>
      <c r="U42" s="34"/>
      <c r="V42" s="34"/>
      <c r="W42" s="34"/>
      <c r="X42" s="34"/>
      <c r="Y42" s="34"/>
      <c r="Z42" s="34"/>
      <c r="AA42" s="34"/>
      <c r="AB42" s="34"/>
      <c r="AC42" s="314"/>
      <c r="AD42" s="315"/>
      <c r="AE42" s="315"/>
      <c r="AF42" s="315"/>
      <c r="AG42" s="315"/>
      <c r="AH42" s="315"/>
      <c r="AI42" s="34"/>
    </row>
    <row r="43" spans="2:37" ht="14.5">
      <c r="P43" s="34"/>
      <c r="Q43" s="34"/>
      <c r="R43" s="34"/>
      <c r="S43" s="34"/>
      <c r="T43" s="34"/>
      <c r="U43" s="34"/>
      <c r="V43" s="34"/>
      <c r="W43" s="34"/>
      <c r="X43" s="34"/>
      <c r="Y43" s="34"/>
      <c r="Z43" s="34"/>
      <c r="AA43" s="34"/>
      <c r="AB43" s="34"/>
      <c r="AC43" s="34"/>
      <c r="AD43" s="34"/>
      <c r="AE43" s="34"/>
      <c r="AF43" s="34"/>
      <c r="AG43" s="34"/>
      <c r="AH43" s="34"/>
      <c r="AI43" s="34"/>
    </row>
    <row r="44" spans="2:37" ht="14.5">
      <c r="P44" s="34"/>
      <c r="Q44" s="34"/>
      <c r="R44" s="34"/>
      <c r="S44" s="34"/>
      <c r="T44" s="34"/>
      <c r="U44" s="34"/>
      <c r="V44" s="34"/>
      <c r="W44" s="34"/>
      <c r="X44" s="34"/>
      <c r="Y44" s="34"/>
      <c r="Z44" s="34"/>
      <c r="AA44" s="34"/>
      <c r="AB44" s="34"/>
      <c r="AC44" s="34"/>
      <c r="AD44" s="34"/>
      <c r="AE44" s="34"/>
      <c r="AF44" s="34"/>
      <c r="AG44" s="34"/>
      <c r="AH44" s="34"/>
      <c r="AI44" s="34"/>
    </row>
    <row r="45" spans="2:37" ht="14.5"/>
    <row r="46" spans="2:37" ht="14.5"/>
    <row r="47" spans="2:37" ht="14.5"/>
    <row r="48" spans="2:37" ht="14.5"/>
    <row r="49" ht="14.5"/>
    <row r="50" ht="14.5"/>
    <row r="51" ht="14.5"/>
    <row r="52" ht="14.5"/>
    <row r="53" ht="14.5"/>
    <row r="54" ht="14.5"/>
    <row r="55" ht="14.5"/>
    <row r="56" ht="14.5"/>
    <row r="57" ht="14.5"/>
    <row r="58" ht="14.5"/>
    <row r="59" ht="14.5"/>
    <row r="60" ht="14.5"/>
    <row r="61" ht="14.5"/>
    <row r="62" ht="14.5"/>
    <row r="63" ht="14.5"/>
    <row r="64" ht="14.5"/>
    <row r="65" ht="14.5"/>
    <row r="66" ht="14.5"/>
    <row r="67" ht="14.5"/>
    <row r="68" ht="14.5"/>
    <row r="69" ht="14.5"/>
    <row r="70" ht="14.5"/>
    <row r="71" ht="14.5"/>
    <row r="72" ht="14.5"/>
    <row r="73" ht="14.5"/>
    <row r="74" ht="14.5"/>
    <row r="75" ht="14.5"/>
    <row r="76" ht="14.5"/>
    <row r="77" ht="14.5"/>
    <row r="78" ht="14.5"/>
    <row r="79" ht="14.5"/>
    <row r="80" ht="14.5"/>
    <row r="81" ht="14.5"/>
    <row r="82" ht="14.5"/>
    <row r="83" ht="14.5"/>
    <row r="84" ht="14.5"/>
    <row r="85" ht="14.5"/>
    <row r="86" ht="14.5"/>
    <row r="87" ht="14.5"/>
    <row r="88" ht="14.5"/>
    <row r="89" ht="14.5"/>
    <row r="90" ht="14.5"/>
    <row r="91" ht="14.5"/>
    <row r="92" ht="14.5"/>
    <row r="93" ht="14.5"/>
    <row r="94" ht="14.5"/>
    <row r="95" ht="14.5"/>
    <row r="96" ht="14.5"/>
    <row r="97" ht="14.5"/>
    <row r="98" ht="14.5"/>
    <row r="99" ht="14.5"/>
    <row r="100" ht="14.5"/>
    <row r="101" ht="14.5"/>
    <row r="102" ht="14.5"/>
    <row r="103" ht="14.5"/>
    <row r="104" ht="14.5"/>
    <row r="105" ht="14.5"/>
    <row r="106" ht="14.5"/>
    <row r="107" ht="14.5"/>
    <row r="108" ht="14.5"/>
    <row r="109" ht="14.5"/>
    <row r="110" ht="14.5"/>
    <row r="111" ht="14.5"/>
    <row r="112" ht="14.5"/>
    <row r="113" ht="14.5"/>
    <row r="114" ht="14.5"/>
    <row r="115" ht="14.5"/>
    <row r="116" ht="14.5"/>
    <row r="117" ht="14.5"/>
    <row r="118" ht="14.5"/>
    <row r="119" ht="14.5"/>
    <row r="120" ht="14.5"/>
    <row r="121" ht="14.5"/>
    <row r="122" ht="14.5"/>
    <row r="123" ht="14.5"/>
    <row r="124" ht="14.5"/>
    <row r="125" ht="14.5"/>
    <row r="126" ht="14.5"/>
    <row r="127" ht="14.5"/>
    <row r="128" ht="14.5"/>
    <row r="129" ht="14.5"/>
    <row r="130" ht="14.5"/>
    <row r="131" ht="14.5"/>
    <row r="132" ht="14.5"/>
    <row r="133" ht="14.5"/>
    <row r="134" ht="14.5"/>
    <row r="135" ht="14.5"/>
    <row r="136" ht="14.5"/>
    <row r="137" ht="14.5"/>
    <row r="138" ht="14.5"/>
    <row r="139" ht="14.5"/>
    <row r="140" ht="14.5"/>
    <row r="141" ht="14.5"/>
    <row r="142" ht="14.5"/>
    <row r="143" ht="14.5"/>
    <row r="144" ht="14.5"/>
    <row r="145" ht="14.5"/>
    <row r="146" ht="14.5"/>
    <row r="147" ht="14.5"/>
    <row r="148" ht="14.5"/>
    <row r="149" ht="14.5"/>
    <row r="150" ht="14.5"/>
    <row r="151" ht="14.5"/>
    <row r="152" ht="14.5"/>
    <row r="153" ht="14.5"/>
    <row r="154" ht="14.5"/>
    <row r="155" ht="14.5"/>
    <row r="156" ht="14.5"/>
    <row r="157" ht="14.5"/>
    <row r="158" ht="14.5"/>
    <row r="159" ht="14.5"/>
    <row r="160" ht="15" customHeight="1"/>
    <row r="161" ht="15" customHeight="1"/>
    <row r="162" ht="15" customHeight="1"/>
    <row r="163" ht="15" customHeight="1"/>
    <row r="164" ht="15" customHeight="1"/>
  </sheetData>
  <sheetProtection algorithmName="SHA-512" hashValue="d4+5cz1E+2Xtj1ImxzYwTJ0qtcH0OHe/chkzdor/6cYTbXZEfUl2U6dqVpdHNMemEqrpSwLCOlk8o1JiXXV6VQ==" saltValue="JLw8R6gsrlDDoiSo8WkY8A==" spinCount="100000" sheet="1" selectLockedCells="1"/>
  <mergeCells count="38">
    <mergeCell ref="B41:O42"/>
    <mergeCell ref="B8:C8"/>
    <mergeCell ref="B4:C4"/>
    <mergeCell ref="B5:C5"/>
    <mergeCell ref="B6:C6"/>
    <mergeCell ref="B7:C7"/>
    <mergeCell ref="B20:C20"/>
    <mergeCell ref="B9:C9"/>
    <mergeCell ref="B10:C10"/>
    <mergeCell ref="B11:C11"/>
    <mergeCell ref="B12:C12"/>
    <mergeCell ref="B13:C13"/>
    <mergeCell ref="B14:C14"/>
    <mergeCell ref="B15:C15"/>
    <mergeCell ref="B16:C16"/>
    <mergeCell ref="B17:C17"/>
    <mergeCell ref="B18:C18"/>
    <mergeCell ref="B19:C19"/>
    <mergeCell ref="B21:C21"/>
    <mergeCell ref="B22:C22"/>
    <mergeCell ref="B23:C23"/>
    <mergeCell ref="Q30:AI30"/>
    <mergeCell ref="X35:AA35"/>
    <mergeCell ref="AB35:AC35"/>
    <mergeCell ref="AE35:AH35"/>
    <mergeCell ref="B26:C26"/>
    <mergeCell ref="B28:C28"/>
    <mergeCell ref="AC40:AH40"/>
    <mergeCell ref="AC41:AH41"/>
    <mergeCell ref="AC42:AH42"/>
    <mergeCell ref="AC39:AH39"/>
    <mergeCell ref="AJ31:AK31"/>
    <mergeCell ref="Q37:AI37"/>
    <mergeCell ref="X32:AA32"/>
    <mergeCell ref="AB32:AC32"/>
    <mergeCell ref="AE32:AH32"/>
    <mergeCell ref="Q33:AI33"/>
    <mergeCell ref="Q31:AI31"/>
  </mergeCells>
  <conditionalFormatting sqref="D4:AH23">
    <cfRule type="expression" dxfId="38" priority="31">
      <formula>D$2</formula>
    </cfRule>
  </conditionalFormatting>
  <conditionalFormatting sqref="J4:J23">
    <cfRule type="expression" dxfId="37" priority="32">
      <formula>J$2</formula>
    </cfRule>
  </conditionalFormatting>
  <conditionalFormatting sqref="D3:AH3">
    <cfRule type="expression" dxfId="36" priority="30">
      <formula>MATCH(D3,INDIRECT("Fixed_weekdays[DateInYear]"),0)&gt;0</formula>
    </cfRule>
  </conditionalFormatting>
  <conditionalFormatting sqref="D3:AH3">
    <cfRule type="expression" dxfId="35" priority="29">
      <formula>MATCH(D3,INDIRECT("Fixed_dates[DateInYear]"),0)&gt;0</formula>
    </cfRule>
  </conditionalFormatting>
  <conditionalFormatting sqref="D3:AH3">
    <cfRule type="expression" dxfId="34" priority="28">
      <formula>AND(INDEX(INDIRECT("Shortened[WorkHours]"),MATCH(D3,INDIRECT("Shortened[DateInYear]"),0),0)&gt;0,INDEX(INDIRECT("Shortened[WorkHours]"),MATCH(D3,INDIRECT("Shortened[DateInYear]"),0),0)&lt;8)</formula>
    </cfRule>
  </conditionalFormatting>
  <conditionalFormatting sqref="D3:AH3">
    <cfRule type="expression" dxfId="33" priority="27">
      <formula>AND(INDEX(INDIRECT("Clamp[WorkHours]"),MATCH(C3,INDIRECT("Clamp[DateInYear]"),0),0)&gt;0,INDEX(INDIRECT("Clamp[WorkHours]"),MATCH(C3,INDIRECT("Clamp[DateInYear]"),0),0)&lt;8)</formula>
    </cfRule>
  </conditionalFormatting>
  <conditionalFormatting sqref="D3:AH3">
    <cfRule type="expression" dxfId="32" priority="25">
      <formula>INDEX(INDIRECT("Shortened[WorkHours]"),MATCH(D3,INDIRECT("Shortened[DateInYear]"),0),0)&gt;7</formula>
    </cfRule>
    <cfRule type="expression" dxfId="31" priority="26">
      <formula>INDEX(INDIRECT("Clamp[WorkHours]"),MATCH(D3,INDIRECT("Clamp[DateInYear]"),0),0)&gt;7</formula>
    </cfRule>
  </conditionalFormatting>
  <conditionalFormatting sqref="D3:AH3">
    <cfRule type="expression" dxfId="30" priority="24">
      <formula>OR(WEEKDAY(D3,2)=6,WEEKDAY(D3,2)=7)</formula>
    </cfRule>
  </conditionalFormatting>
  <conditionalFormatting sqref="J18:J22">
    <cfRule type="expression" dxfId="29" priority="23">
      <formula>J$2</formula>
    </cfRule>
  </conditionalFormatting>
  <conditionalFormatting sqref="B4:C22">
    <cfRule type="containsText" dxfId="28" priority="15" operator="containsText" text="Other US">
      <formula>NOT(ISERROR(SEARCH("Other US",B4)))</formula>
    </cfRule>
    <cfRule type="containsText" dxfId="27" priority="16" operator="containsText" text="US Army">
      <formula>NOT(ISERROR(SEARCH("US Army",B4)))</formula>
    </cfRule>
    <cfRule type="containsText" dxfId="26" priority="18" operator="containsText" text="NIH">
      <formula>NOT(ISERROR(SEARCH("NIH",B4)))</formula>
    </cfRule>
    <cfRule type="containsText" dxfId="25" priority="19" operator="containsText" text="FP7">
      <formula>NOT(ISERROR(SEARCH("FP7",B4)))</formula>
    </cfRule>
    <cfRule type="containsText" dxfId="24" priority="20" operator="containsText" text="H2020">
      <formula>NOT(ISERROR(SEARCH("H2020",B4)))</formula>
    </cfRule>
    <cfRule type="containsText" dxfId="23" priority="21" operator="containsText" text="Sida">
      <formula>NOT(ISERROR(SEARCH("Sida",B4)))</formula>
    </cfRule>
    <cfRule type="containsText" dxfId="22" priority="22" operator="containsText" text="Other">
      <formula>NOT(ISERROR(SEARCH("Other",B4)))</formula>
    </cfRule>
  </conditionalFormatting>
  <conditionalFormatting sqref="D25:AH25">
    <cfRule type="iconSet" priority="10">
      <iconSet iconSet="3Flags">
        <cfvo type="percent" val="0"/>
        <cfvo type="percent" val="33"/>
        <cfvo type="percent" val="67"/>
      </iconSet>
    </cfRule>
  </conditionalFormatting>
  <conditionalFormatting sqref="D25:AH25">
    <cfRule type="iconSet" priority="9">
      <iconSet iconSet="3Flags">
        <cfvo type="percent" val="0"/>
        <cfvo type="percent" val="33"/>
        <cfvo type="percent" val="67"/>
      </iconSet>
    </cfRule>
  </conditionalFormatting>
  <conditionalFormatting sqref="AJ31">
    <cfRule type="expression" dxfId="21" priority="5">
      <formula>AK$2</formula>
    </cfRule>
  </conditionalFormatting>
  <conditionalFormatting sqref="D26:AH26">
    <cfRule type="cellIs" dxfId="20" priority="1" operator="greaterThan">
      <formula>24</formula>
    </cfRule>
    <cfRule type="cellIs" dxfId="19" priority="2" operator="greaterThan">
      <formula>14</formula>
    </cfRule>
  </conditionalFormatting>
  <dataValidations count="1">
    <dataValidation type="decimal" allowBlank="1" showInputMessage="1" showErrorMessage="1" errorTitle="ERROR !" error="You may report min 0,5 and max 24 hrs per WP or Project" sqref="D4:AH23" xr:uid="{00000000-0002-0000-0F00-000000000000}">
      <formula1>0.5</formula1>
      <formula2>24</formula2>
    </dataValidation>
  </dataValidations>
  <printOptions horizontalCentered="1" verticalCentered="1"/>
  <pageMargins left="0.7" right="0.7" top="1.2072916666666667" bottom="0.75" header="0.45652173913043476" footer="0.3"/>
  <pageSetup paperSize="9" scale="51" orientation="landscape" r:id="rId1"/>
  <headerFooter>
    <oddHeader>&amp;L&amp;G&amp;C&amp;24TIMESHEET</oddHeader>
  </headerFooter>
  <legacyDrawingHF r:id="rId2"/>
  <extLst>
    <ext xmlns:x14="http://schemas.microsoft.com/office/spreadsheetml/2009/9/main" uri="{78C0D931-6437-407d-A8EE-F0AAD7539E65}">
      <x14:conditionalFormattings>
        <x14:conditionalFormatting xmlns:xm="http://schemas.microsoft.com/office/excel/2006/main">
          <x14:cfRule type="containsText" priority="17" operator="containsText" id="{AB9F2079-49E9-4F5D-82B2-B35381B8FAED}">
            <xm:f>NOT(ISERROR(SEARCH("Non-project",B4)))</xm:f>
            <xm:f>"Non-project"</xm:f>
            <x14:dxf>
              <fill>
                <patternFill>
                  <bgColor theme="6" tint="0.59996337778862885"/>
                </patternFill>
              </fill>
            </x14:dxf>
          </x14:cfRule>
          <xm:sqref>B4:C22</xm:sqref>
        </x14:conditionalFormatting>
        <x14:conditionalFormatting xmlns:xm="http://schemas.microsoft.com/office/excel/2006/main">
          <x14:cfRule type="iconSet" priority="8" id="{015D498A-7197-4045-BD0C-24D378903967}">
            <x14:iconSet iconSet="3Flags" showValue="0" custom="1">
              <x14:cfvo type="percent">
                <xm:f>0</xm:f>
              </x14:cfvo>
              <x14:cfvo type="num" gte="0">
                <xm:f>14</xm:f>
              </x14:cfvo>
              <x14:cfvo type="num" gte="0">
                <xm:f>24</xm:f>
              </x14:cfvo>
              <x14:cfIcon iconSet="NoIcons" iconId="0"/>
              <x14:cfIcon iconSet="3Flags" iconId="1"/>
              <x14:cfIcon iconSet="3Flags" iconId="0"/>
            </x14:iconSet>
          </x14:cfRule>
          <xm:sqref>D25:AH25</xm:sqref>
        </x14:conditionalFormatting>
        <x14:conditionalFormatting xmlns:xm="http://schemas.microsoft.com/office/excel/2006/main">
          <x14:cfRule type="iconSet" priority="4" id="{EF4232EA-F87E-4BB0-B40E-8F080C7A354C}">
            <x14:iconSet iconSet="3Flags" showValue="0" custom="1">
              <x14:cfvo type="percent">
                <xm:f>0</xm:f>
              </x14:cfvo>
              <x14:cfvo type="num">
                <xm:f>0</xm:f>
              </x14:cfvo>
              <x14:cfvo type="num" gte="0">
                <xm:f>0</xm:f>
              </x14:cfvo>
              <x14:cfIcon iconSet="NoIcons" iconId="0"/>
              <x14:cfIcon iconSet="NoIcons" iconId="0"/>
              <x14:cfIcon iconSet="3Flags" iconId="1"/>
            </x14:iconSet>
          </x14:cfRule>
          <xm:sqref>AJ32</xm:sqref>
        </x14:conditionalFormatting>
        <x14:conditionalFormatting xmlns:xm="http://schemas.microsoft.com/office/excel/2006/main">
          <x14:cfRule type="iconSet" priority="3" id="{6A6A6494-2BE7-4294-A689-A10F61C9C718}">
            <x14:iconSet iconSet="3Flags" showValue="0" custom="1">
              <x14:cfvo type="percent">
                <xm:f>0</xm:f>
              </x14:cfvo>
              <x14:cfvo type="num">
                <xm:f>0</xm:f>
              </x14:cfvo>
              <x14:cfvo type="num" gte="0">
                <xm:f>0</xm:f>
              </x14:cfvo>
              <x14:cfIcon iconSet="NoIcons" iconId="0"/>
              <x14:cfIcon iconSet="NoIcons" iconId="0"/>
              <x14:cfIcon iconSet="3Flags" iconId="0"/>
            </x14:iconSet>
          </x14:cfRule>
          <xm:sqref>AJ33</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Blad14">
    <tabColor theme="4" tint="0.39997558519241921"/>
    <pageSetUpPr fitToPage="1"/>
  </sheetPr>
  <dimension ref="B1:S162"/>
  <sheetViews>
    <sheetView showGridLines="0" showRowColHeaders="0" showZeros="0" zoomScale="70" zoomScaleNormal="70" zoomScaleSheetLayoutView="85" workbookViewId="0">
      <selection activeCell="E8" sqref="E8"/>
    </sheetView>
  </sheetViews>
  <sheetFormatPr defaultColWidth="0" defaultRowHeight="15" customHeight="1" zeroHeight="1"/>
  <cols>
    <col min="1" max="1" width="1.54296875" style="12" customWidth="1"/>
    <col min="2" max="3" width="25.7265625" style="12" customWidth="1"/>
    <col min="4" max="4" width="8" style="12" customWidth="1"/>
    <col min="5" max="15" width="7.1796875" style="12" customWidth="1"/>
    <col min="16" max="16" width="8.7265625" style="12" customWidth="1"/>
    <col min="17" max="18" width="9.1796875" style="12" customWidth="1"/>
    <col min="19" max="19" width="9.1796875" style="118" customWidth="1"/>
    <col min="20" max="16364" width="9.1796875" style="12" customWidth="1"/>
    <col min="16365" max="16365" width="2.1796875" style="12" customWidth="1"/>
    <col min="16366" max="16384" width="2.26953125" style="12" customWidth="1"/>
  </cols>
  <sheetData>
    <row r="1" spans="2:17" ht="18.5">
      <c r="B1" s="147" t="s">
        <v>99</v>
      </c>
      <c r="C1" s="67">
        <f>Year</f>
        <v>2021</v>
      </c>
      <c r="D1" s="48"/>
      <c r="E1" s="48"/>
      <c r="F1" s="48"/>
      <c r="G1" s="35" t="s">
        <v>6</v>
      </c>
      <c r="I1" s="48">
        <f>Member</f>
        <v>0</v>
      </c>
      <c r="J1" s="48"/>
      <c r="K1" s="48"/>
      <c r="L1" s="48"/>
      <c r="M1" s="48"/>
      <c r="N1" s="35"/>
      <c r="O1" s="48"/>
    </row>
    <row r="2" spans="2:17" ht="12.75" customHeight="1">
      <c r="B2" s="36"/>
      <c r="C2" s="50">
        <f>C37</f>
        <v>0</v>
      </c>
      <c r="D2" s="51"/>
      <c r="E2" s="51"/>
      <c r="F2" s="51"/>
      <c r="G2" s="51"/>
      <c r="H2" s="51"/>
      <c r="I2" s="51"/>
      <c r="J2" s="51"/>
      <c r="K2" s="51"/>
      <c r="L2" s="51"/>
      <c r="M2" s="51"/>
      <c r="N2" s="51"/>
      <c r="O2" s="51"/>
      <c r="P2" s="49"/>
    </row>
    <row r="3" spans="2:17" ht="18" customHeight="1">
      <c r="B3" s="173" t="s">
        <v>74</v>
      </c>
      <c r="C3" s="174"/>
      <c r="D3" s="194" t="s">
        <v>86</v>
      </c>
      <c r="E3" s="194" t="s">
        <v>87</v>
      </c>
      <c r="F3" s="194" t="s">
        <v>88</v>
      </c>
      <c r="G3" s="194" t="s">
        <v>89</v>
      </c>
      <c r="H3" s="194" t="s">
        <v>78</v>
      </c>
      <c r="I3" s="194" t="s">
        <v>90</v>
      </c>
      <c r="J3" s="194" t="s">
        <v>91</v>
      </c>
      <c r="K3" s="194" t="s">
        <v>92</v>
      </c>
      <c r="L3" s="194" t="s">
        <v>93</v>
      </c>
      <c r="M3" s="194" t="s">
        <v>94</v>
      </c>
      <c r="N3" s="194" t="s">
        <v>95</v>
      </c>
      <c r="O3" s="194" t="s">
        <v>96</v>
      </c>
      <c r="P3" s="175" t="s">
        <v>3</v>
      </c>
      <c r="Q3" s="175" t="s">
        <v>97</v>
      </c>
    </row>
    <row r="4" spans="2:17" ht="13" customHeight="1">
      <c r="B4" s="339" t="str">
        <f>IFERROR(Project.01&amp;" "&amp;WP.01&amp;" "&amp;Contract.01&amp;" "&amp;Type.01&amp;" "&amp;Activity.01," ")</f>
        <v xml:space="preserve">    </v>
      </c>
      <c r="C4" s="339"/>
      <c r="D4" s="157">
        <f>JanTot.01</f>
        <v>0</v>
      </c>
      <c r="E4" s="157">
        <f>FebTot.01</f>
        <v>0</v>
      </c>
      <c r="F4" s="157">
        <f>MarTot.01</f>
        <v>0</v>
      </c>
      <c r="G4" s="157">
        <f>AprTot.01</f>
        <v>0</v>
      </c>
      <c r="H4" s="157">
        <f>MayTot.01</f>
        <v>0</v>
      </c>
      <c r="I4" s="157">
        <f>JunTot.01</f>
        <v>0</v>
      </c>
      <c r="J4" s="157">
        <f>JulTot.01</f>
        <v>0</v>
      </c>
      <c r="K4" s="157">
        <f>AugTot.01</f>
        <v>0</v>
      </c>
      <c r="L4" s="157">
        <f>SepTot.01</f>
        <v>0</v>
      </c>
      <c r="M4" s="157">
        <f>OctTot.01</f>
        <v>0</v>
      </c>
      <c r="N4" s="157">
        <f>NovTot.01</f>
        <v>0</v>
      </c>
      <c r="O4" s="157">
        <f>DecTot.01</f>
        <v>0</v>
      </c>
      <c r="P4" s="158">
        <f>SUM(D4:O4)</f>
        <v>0</v>
      </c>
      <c r="Q4" s="159" t="str">
        <f t="shared" ref="Q4:Q23" si="0">IFERROR(SUM(D4:O4)/$P$26,"")</f>
        <v/>
      </c>
    </row>
    <row r="5" spans="2:17" ht="13" customHeight="1">
      <c r="B5" s="339" t="str">
        <f>IFERROR(Project.02&amp;" "&amp;WP.02&amp;" "&amp;Contract.02&amp;" "&amp;Type.02&amp;" "&amp;Activity.02," ")</f>
        <v xml:space="preserve">    </v>
      </c>
      <c r="C5" s="339"/>
      <c r="D5" s="157">
        <f>JanTot.02</f>
        <v>0</v>
      </c>
      <c r="E5" s="157">
        <f>FebTot.02</f>
        <v>0</v>
      </c>
      <c r="F5" s="157">
        <f>MarTot.02</f>
        <v>0</v>
      </c>
      <c r="G5" s="157">
        <f>AprTot.02</f>
        <v>0</v>
      </c>
      <c r="H5" s="157">
        <f>MayTot.02</f>
        <v>0</v>
      </c>
      <c r="I5" s="157">
        <f>JunTot.02</f>
        <v>0</v>
      </c>
      <c r="J5" s="157">
        <f>JulTot.02</f>
        <v>0</v>
      </c>
      <c r="K5" s="157">
        <f>AugTot.02</f>
        <v>0</v>
      </c>
      <c r="L5" s="157">
        <f>SepTot.02</f>
        <v>0</v>
      </c>
      <c r="M5" s="157">
        <f>OctTot.02</f>
        <v>0</v>
      </c>
      <c r="N5" s="157">
        <f>NovTot.02</f>
        <v>0</v>
      </c>
      <c r="O5" s="157">
        <f>DecTot.02</f>
        <v>0</v>
      </c>
      <c r="P5" s="158">
        <f t="shared" ref="P5:P23" si="1">SUM(D5:O5)</f>
        <v>0</v>
      </c>
      <c r="Q5" s="159" t="str">
        <f t="shared" si="0"/>
        <v/>
      </c>
    </row>
    <row r="6" spans="2:17" ht="13" customHeight="1">
      <c r="B6" s="339" t="str">
        <f>IFERROR(Project.03&amp;" "&amp;WP.03&amp;" "&amp;Contract.03&amp;" "&amp;Type.03&amp;" "&amp;Activity.03," ")</f>
        <v xml:space="preserve">    </v>
      </c>
      <c r="C6" s="339"/>
      <c r="D6" s="157">
        <f>JanTot.03</f>
        <v>0</v>
      </c>
      <c r="E6" s="157">
        <f>FebTot.03</f>
        <v>0</v>
      </c>
      <c r="F6" s="157">
        <f>MarTot.03</f>
        <v>0</v>
      </c>
      <c r="G6" s="157">
        <f>AprTot.03</f>
        <v>0</v>
      </c>
      <c r="H6" s="157">
        <f>MayTot.03</f>
        <v>0</v>
      </c>
      <c r="I6" s="157">
        <f>JunTot.03</f>
        <v>0</v>
      </c>
      <c r="J6" s="157">
        <f>JulTot.03</f>
        <v>0</v>
      </c>
      <c r="K6" s="157">
        <f>AugTot.03</f>
        <v>0</v>
      </c>
      <c r="L6" s="157">
        <f>SepTot.03</f>
        <v>0</v>
      </c>
      <c r="M6" s="157">
        <f>OctTot.03</f>
        <v>0</v>
      </c>
      <c r="N6" s="157">
        <f>NovTot.03</f>
        <v>0</v>
      </c>
      <c r="O6" s="157">
        <f>DecTot.03</f>
        <v>0</v>
      </c>
      <c r="P6" s="158">
        <f t="shared" si="1"/>
        <v>0</v>
      </c>
      <c r="Q6" s="159" t="str">
        <f t="shared" si="0"/>
        <v/>
      </c>
    </row>
    <row r="7" spans="2:17" ht="13" customHeight="1">
      <c r="B7" s="339" t="str">
        <f>IFERROR(Project.04&amp;" "&amp;WP.04&amp;" "&amp;Contract.04&amp;" "&amp;Type.04&amp;" "&amp;Activity.04," ")</f>
        <v xml:space="preserve">    </v>
      </c>
      <c r="C7" s="339"/>
      <c r="D7" s="157">
        <f>JanTot.04</f>
        <v>0</v>
      </c>
      <c r="E7" s="157">
        <f>FebTot.04</f>
        <v>0</v>
      </c>
      <c r="F7" s="157">
        <f>MarTot.04</f>
        <v>0</v>
      </c>
      <c r="G7" s="157">
        <f>AprTot.04</f>
        <v>0</v>
      </c>
      <c r="H7" s="157">
        <f>MayTot.04</f>
        <v>0</v>
      </c>
      <c r="I7" s="157">
        <f>JunTot.04</f>
        <v>0</v>
      </c>
      <c r="J7" s="157">
        <f>JulTot.04</f>
        <v>0</v>
      </c>
      <c r="K7" s="157">
        <f>AugTot.04</f>
        <v>0</v>
      </c>
      <c r="L7" s="157">
        <f>SepTot.04</f>
        <v>0</v>
      </c>
      <c r="M7" s="157">
        <f>OctTot.04</f>
        <v>0</v>
      </c>
      <c r="N7" s="157">
        <f>NovTot.04</f>
        <v>0</v>
      </c>
      <c r="O7" s="157">
        <f>DecTot.04</f>
        <v>0</v>
      </c>
      <c r="P7" s="158">
        <f t="shared" si="1"/>
        <v>0</v>
      </c>
      <c r="Q7" s="159" t="str">
        <f t="shared" si="0"/>
        <v/>
      </c>
    </row>
    <row r="8" spans="2:17" ht="13" customHeight="1">
      <c r="B8" s="339" t="str">
        <f>IFERROR(Project.05&amp;" "&amp;WP.05&amp;" "&amp;Contract.05&amp;" "&amp;Type.05&amp;" "&amp;Activity.05," ")</f>
        <v xml:space="preserve">    </v>
      </c>
      <c r="C8" s="339"/>
      <c r="D8" s="157">
        <f>JanTot.05</f>
        <v>0</v>
      </c>
      <c r="E8" s="157">
        <f>FebTot.05</f>
        <v>0</v>
      </c>
      <c r="F8" s="157">
        <f>MarTot.05</f>
        <v>0</v>
      </c>
      <c r="G8" s="157">
        <f>AprTot.05</f>
        <v>0</v>
      </c>
      <c r="H8" s="157">
        <f>MayTot.05</f>
        <v>0</v>
      </c>
      <c r="I8" s="157">
        <f>JunTot.05</f>
        <v>0</v>
      </c>
      <c r="J8" s="157">
        <f>JulTot.05</f>
        <v>0</v>
      </c>
      <c r="K8" s="157">
        <f>AugTot.05</f>
        <v>0</v>
      </c>
      <c r="L8" s="157">
        <f>SepTot.05</f>
        <v>0</v>
      </c>
      <c r="M8" s="157">
        <f>OctTot.05</f>
        <v>0</v>
      </c>
      <c r="N8" s="157">
        <f>NovTot.05</f>
        <v>0</v>
      </c>
      <c r="O8" s="157">
        <f>DecTot.05</f>
        <v>0</v>
      </c>
      <c r="P8" s="158">
        <f t="shared" si="1"/>
        <v>0</v>
      </c>
      <c r="Q8" s="159" t="str">
        <f t="shared" si="0"/>
        <v/>
      </c>
    </row>
    <row r="9" spans="2:17" ht="13" customHeight="1">
      <c r="B9" s="339" t="str">
        <f>IFERROR(Project.06&amp;" "&amp;WP.06&amp;" "&amp;Contract.06&amp;" "&amp;Type.06&amp;" "&amp;Activity.06," ")</f>
        <v xml:space="preserve">    </v>
      </c>
      <c r="C9" s="339"/>
      <c r="D9" s="157">
        <f>JanTot.06</f>
        <v>0</v>
      </c>
      <c r="E9" s="157">
        <f>FebTot.06</f>
        <v>0</v>
      </c>
      <c r="F9" s="157">
        <f>MarTot.06</f>
        <v>0</v>
      </c>
      <c r="G9" s="157">
        <f>AprTot.06</f>
        <v>0</v>
      </c>
      <c r="H9" s="157">
        <f>MayTot.06</f>
        <v>0</v>
      </c>
      <c r="I9" s="157">
        <f>JunTot.06</f>
        <v>0</v>
      </c>
      <c r="J9" s="157">
        <f>JulTot.06</f>
        <v>0</v>
      </c>
      <c r="K9" s="157">
        <f>AugTot.06</f>
        <v>0</v>
      </c>
      <c r="L9" s="157">
        <f>SepTot.06</f>
        <v>0</v>
      </c>
      <c r="M9" s="157">
        <f>OctTot.06</f>
        <v>0</v>
      </c>
      <c r="N9" s="157">
        <f>NovTot.06</f>
        <v>0</v>
      </c>
      <c r="O9" s="157">
        <f>DecTot.06</f>
        <v>0</v>
      </c>
      <c r="P9" s="158">
        <f t="shared" si="1"/>
        <v>0</v>
      </c>
      <c r="Q9" s="159" t="str">
        <f t="shared" si="0"/>
        <v/>
      </c>
    </row>
    <row r="10" spans="2:17" ht="13" customHeight="1">
      <c r="B10" s="339" t="str">
        <f>IFERROR(Project.07&amp;" "&amp;WP.07&amp;" "&amp;Contract.07&amp;" "&amp;Type.07&amp;" "&amp;Activity.07," ")</f>
        <v xml:space="preserve">    </v>
      </c>
      <c r="C10" s="339"/>
      <c r="D10" s="157">
        <f>JanTot.07</f>
        <v>0</v>
      </c>
      <c r="E10" s="157">
        <f>FebTot.07</f>
        <v>0</v>
      </c>
      <c r="F10" s="157">
        <f>MarTot.07</f>
        <v>0</v>
      </c>
      <c r="G10" s="157">
        <f>AprTot.07</f>
        <v>0</v>
      </c>
      <c r="H10" s="157">
        <f>MayTot.07</f>
        <v>0</v>
      </c>
      <c r="I10" s="157">
        <f>JunTot.07</f>
        <v>0</v>
      </c>
      <c r="J10" s="157">
        <f>JulTot.07</f>
        <v>0</v>
      </c>
      <c r="K10" s="157">
        <f>AugTot.07</f>
        <v>0</v>
      </c>
      <c r="L10" s="157">
        <f>SepTot.07</f>
        <v>0</v>
      </c>
      <c r="M10" s="157">
        <f>OctTot.07</f>
        <v>0</v>
      </c>
      <c r="N10" s="157">
        <f>NovTot.07</f>
        <v>0</v>
      </c>
      <c r="O10" s="157">
        <f>DecTot.07</f>
        <v>0</v>
      </c>
      <c r="P10" s="158">
        <f t="shared" si="1"/>
        <v>0</v>
      </c>
      <c r="Q10" s="159" t="str">
        <f t="shared" si="0"/>
        <v/>
      </c>
    </row>
    <row r="11" spans="2:17" ht="13" customHeight="1">
      <c r="B11" s="339" t="str">
        <f>IFERROR(Project.08&amp;" "&amp;WP.08&amp;" "&amp;Contract.08&amp;" "&amp;Type.08&amp;" "&amp;Activity.08," ")</f>
        <v xml:space="preserve">    </v>
      </c>
      <c r="C11" s="339"/>
      <c r="D11" s="157">
        <f>JanTot.08</f>
        <v>0</v>
      </c>
      <c r="E11" s="157">
        <f>FebTot.08</f>
        <v>0</v>
      </c>
      <c r="F11" s="157">
        <f>MarTot.08</f>
        <v>0</v>
      </c>
      <c r="G11" s="157">
        <f>AprTot.08</f>
        <v>0</v>
      </c>
      <c r="H11" s="157">
        <f>MayTot.08</f>
        <v>0</v>
      </c>
      <c r="I11" s="157">
        <f>JunTot.08</f>
        <v>0</v>
      </c>
      <c r="J11" s="157">
        <f>JulTot.08</f>
        <v>0</v>
      </c>
      <c r="K11" s="157">
        <f>AugTot.08</f>
        <v>0</v>
      </c>
      <c r="L11" s="157">
        <f>SepTot.08</f>
        <v>0</v>
      </c>
      <c r="M11" s="157">
        <f>OctTot.08</f>
        <v>0</v>
      </c>
      <c r="N11" s="157">
        <f>NovTot.08</f>
        <v>0</v>
      </c>
      <c r="O11" s="157">
        <f>DecTot.08</f>
        <v>0</v>
      </c>
      <c r="P11" s="158">
        <f t="shared" si="1"/>
        <v>0</v>
      </c>
      <c r="Q11" s="159" t="str">
        <f t="shared" si="0"/>
        <v/>
      </c>
    </row>
    <row r="12" spans="2:17" ht="13" customHeight="1">
      <c r="B12" s="339" t="str">
        <f>(Project.09&amp;" "&amp;WP.09&amp;" "&amp;Contract.09&amp;" "&amp;Type.09&amp;" "&amp;Activity.09)</f>
        <v xml:space="preserve">    </v>
      </c>
      <c r="C12" s="339"/>
      <c r="D12" s="157">
        <f>JanTot.09</f>
        <v>0</v>
      </c>
      <c r="E12" s="157">
        <f>FebTot.09</f>
        <v>0</v>
      </c>
      <c r="F12" s="157">
        <f>MarTot.09</f>
        <v>0</v>
      </c>
      <c r="G12" s="157">
        <f>AprTot.09</f>
        <v>0</v>
      </c>
      <c r="H12" s="157">
        <f>MayTot.09</f>
        <v>0</v>
      </c>
      <c r="I12" s="157">
        <f>JunTot.09</f>
        <v>0</v>
      </c>
      <c r="J12" s="157">
        <f>JulTot.09</f>
        <v>0</v>
      </c>
      <c r="K12" s="157">
        <f>AugTot.09</f>
        <v>0</v>
      </c>
      <c r="L12" s="157">
        <f>SepTot.09</f>
        <v>0</v>
      </c>
      <c r="M12" s="157">
        <f>OctTot.09</f>
        <v>0</v>
      </c>
      <c r="N12" s="157">
        <f>NovTot.09</f>
        <v>0</v>
      </c>
      <c r="O12" s="157">
        <f>DecTot.09</f>
        <v>0</v>
      </c>
      <c r="P12" s="158">
        <f t="shared" si="1"/>
        <v>0</v>
      </c>
      <c r="Q12" s="159" t="str">
        <f t="shared" si="0"/>
        <v/>
      </c>
    </row>
    <row r="13" spans="2:17" ht="13" customHeight="1">
      <c r="B13" s="339" t="str">
        <f>IFERROR(Project.10&amp;" "&amp;WP.10&amp;" "&amp;Contract.10&amp;" "&amp;Type.10&amp;" "&amp;Activity.10," ")</f>
        <v xml:space="preserve">    </v>
      </c>
      <c r="C13" s="339"/>
      <c r="D13" s="157">
        <f>JanTot.10</f>
        <v>0</v>
      </c>
      <c r="E13" s="157">
        <f>FebTot.10</f>
        <v>0</v>
      </c>
      <c r="F13" s="157">
        <f>MarTot.10</f>
        <v>0</v>
      </c>
      <c r="G13" s="157">
        <f>AprTot.10</f>
        <v>0</v>
      </c>
      <c r="H13" s="157">
        <f>MayTot.10</f>
        <v>0</v>
      </c>
      <c r="I13" s="157">
        <f>JunTot.10</f>
        <v>0</v>
      </c>
      <c r="J13" s="157">
        <f>JulTot.10</f>
        <v>0</v>
      </c>
      <c r="K13" s="157">
        <f>AugTot.10</f>
        <v>0</v>
      </c>
      <c r="L13" s="157">
        <f>SepTot.10</f>
        <v>0</v>
      </c>
      <c r="M13" s="157">
        <f>OctTot.10</f>
        <v>0</v>
      </c>
      <c r="N13" s="157">
        <f>NovTot.10</f>
        <v>0</v>
      </c>
      <c r="O13" s="157">
        <f>DecTot.10</f>
        <v>0</v>
      </c>
      <c r="P13" s="158">
        <f t="shared" si="1"/>
        <v>0</v>
      </c>
      <c r="Q13" s="159" t="str">
        <f t="shared" si="0"/>
        <v/>
      </c>
    </row>
    <row r="14" spans="2:17" ht="13" customHeight="1">
      <c r="B14" s="339" t="str">
        <f>IFERROR(Project.11&amp;" "&amp;WP.11&amp;" "&amp;Contract.11&amp;" "&amp;Type.11&amp;" "&amp;Activity.11," ")</f>
        <v xml:space="preserve">    </v>
      </c>
      <c r="C14" s="339"/>
      <c r="D14" s="157">
        <f>JanTot.11</f>
        <v>0</v>
      </c>
      <c r="E14" s="157">
        <f>FebTot.11</f>
        <v>0</v>
      </c>
      <c r="F14" s="157">
        <f>MarTot.11</f>
        <v>0</v>
      </c>
      <c r="G14" s="157">
        <f>AprTot.11</f>
        <v>0</v>
      </c>
      <c r="H14" s="157">
        <f>MayTot.11</f>
        <v>0</v>
      </c>
      <c r="I14" s="157">
        <f>JunTot.11</f>
        <v>0</v>
      </c>
      <c r="J14" s="157">
        <f>JulTot.11</f>
        <v>0</v>
      </c>
      <c r="K14" s="157">
        <f>AugTot.11</f>
        <v>0</v>
      </c>
      <c r="L14" s="157">
        <f>SepTot.11</f>
        <v>0</v>
      </c>
      <c r="M14" s="157">
        <f>OctTot.11</f>
        <v>0</v>
      </c>
      <c r="N14" s="157">
        <f>NovTot.11</f>
        <v>0</v>
      </c>
      <c r="O14" s="157">
        <f>DecTot.11</f>
        <v>0</v>
      </c>
      <c r="P14" s="158">
        <f t="shared" si="1"/>
        <v>0</v>
      </c>
      <c r="Q14" s="159" t="str">
        <f t="shared" si="0"/>
        <v/>
      </c>
    </row>
    <row r="15" spans="2:17" ht="13" customHeight="1">
      <c r="B15" s="339" t="str">
        <f>IFERROR(Project.12&amp;" "&amp;WP.12&amp;" "&amp;Contract.12&amp;" "&amp;Type.12&amp;" "&amp;Activity.12," ")</f>
        <v xml:space="preserve">    </v>
      </c>
      <c r="C15" s="339"/>
      <c r="D15" s="157">
        <f>JanTot.12</f>
        <v>0</v>
      </c>
      <c r="E15" s="157">
        <f>FebTot.12</f>
        <v>0</v>
      </c>
      <c r="F15" s="157">
        <f>MarTot.12</f>
        <v>0</v>
      </c>
      <c r="G15" s="157">
        <f>AprTot.12</f>
        <v>0</v>
      </c>
      <c r="H15" s="157">
        <f>MayTot.12</f>
        <v>0</v>
      </c>
      <c r="I15" s="157">
        <f>JunTot.12</f>
        <v>0</v>
      </c>
      <c r="J15" s="157">
        <f>JulTot.12</f>
        <v>0</v>
      </c>
      <c r="K15" s="157">
        <f>AugTot.12</f>
        <v>0</v>
      </c>
      <c r="L15" s="157">
        <f>SepTot.12</f>
        <v>0</v>
      </c>
      <c r="M15" s="157">
        <f>OctTot.12</f>
        <v>0</v>
      </c>
      <c r="N15" s="157">
        <f>NovTot.12</f>
        <v>0</v>
      </c>
      <c r="O15" s="157">
        <f>DecTot.12</f>
        <v>0</v>
      </c>
      <c r="P15" s="158">
        <f t="shared" si="1"/>
        <v>0</v>
      </c>
      <c r="Q15" s="159" t="str">
        <f t="shared" si="0"/>
        <v/>
      </c>
    </row>
    <row r="16" spans="2:17" ht="13" customHeight="1">
      <c r="B16" s="339" t="str">
        <f>IFERROR(Project.13&amp;" "&amp;WP.13&amp;" "&amp;Contract.13&amp;" "&amp;Type.13&amp;" "&amp;Activity.13," ")</f>
        <v xml:space="preserve">    </v>
      </c>
      <c r="C16" s="339"/>
      <c r="D16" s="160">
        <f>JanTot.13</f>
        <v>0</v>
      </c>
      <c r="E16" s="160">
        <f>FebTot.13</f>
        <v>0</v>
      </c>
      <c r="F16" s="160">
        <f>MarTot.13</f>
        <v>0</v>
      </c>
      <c r="G16" s="160">
        <f>AprTot.13</f>
        <v>0</v>
      </c>
      <c r="H16" s="160">
        <f>MayTot.13</f>
        <v>0</v>
      </c>
      <c r="I16" s="160">
        <f>JunTot.13</f>
        <v>0</v>
      </c>
      <c r="J16" s="160">
        <f>JulTot.13</f>
        <v>0</v>
      </c>
      <c r="K16" s="160">
        <f>AugTot.13</f>
        <v>0</v>
      </c>
      <c r="L16" s="160">
        <f>SepTot.13</f>
        <v>0</v>
      </c>
      <c r="M16" s="160">
        <f>OctTot.13</f>
        <v>0</v>
      </c>
      <c r="N16" s="160">
        <f>NovTot.13</f>
        <v>0</v>
      </c>
      <c r="O16" s="160">
        <f>DecTot.13</f>
        <v>0</v>
      </c>
      <c r="P16" s="158">
        <f t="shared" si="1"/>
        <v>0</v>
      </c>
      <c r="Q16" s="159" t="str">
        <f t="shared" si="0"/>
        <v/>
      </c>
    </row>
    <row r="17" spans="2:19" ht="13" customHeight="1">
      <c r="B17" s="339" t="str">
        <f>IFERROR(Project.14&amp;" "&amp;WP.14&amp;" "&amp;Contract.14&amp;" "&amp;Type.14&amp;" "&amp;Activity.14," ")</f>
        <v xml:space="preserve">    </v>
      </c>
      <c r="C17" s="339"/>
      <c r="D17" s="160">
        <f>JanTot.14</f>
        <v>0</v>
      </c>
      <c r="E17" s="160">
        <f>FebTot.14</f>
        <v>0</v>
      </c>
      <c r="F17" s="160">
        <f>MarTot.14</f>
        <v>0</v>
      </c>
      <c r="G17" s="160">
        <f>AprTot.14</f>
        <v>0</v>
      </c>
      <c r="H17" s="160">
        <f>MayTot.14</f>
        <v>0</v>
      </c>
      <c r="I17" s="160">
        <f>JunTot.14</f>
        <v>0</v>
      </c>
      <c r="J17" s="160">
        <f>JulTot.14</f>
        <v>0</v>
      </c>
      <c r="K17" s="160">
        <f>AugTot.14</f>
        <v>0</v>
      </c>
      <c r="L17" s="160">
        <f>SepTot.14</f>
        <v>0</v>
      </c>
      <c r="M17" s="160">
        <f>OctTot.14</f>
        <v>0</v>
      </c>
      <c r="N17" s="160">
        <f>NovTot.14</f>
        <v>0</v>
      </c>
      <c r="O17" s="160">
        <f>DecTot.14</f>
        <v>0</v>
      </c>
      <c r="P17" s="158">
        <f t="shared" si="1"/>
        <v>0</v>
      </c>
      <c r="Q17" s="159" t="str">
        <f t="shared" si="0"/>
        <v/>
      </c>
    </row>
    <row r="18" spans="2:19" ht="13" customHeight="1">
      <c r="B18" s="339" t="str">
        <f>IFERROR(Project.15&amp;" "&amp;WP.15&amp;" "&amp;Contract.15&amp;" "&amp;Type.15&amp;" "&amp;Activity.15," ")</f>
        <v xml:space="preserve">    </v>
      </c>
      <c r="C18" s="339"/>
      <c r="D18" s="157">
        <f>JanTot.15</f>
        <v>0</v>
      </c>
      <c r="E18" s="157">
        <f>FebTot.15</f>
        <v>0</v>
      </c>
      <c r="F18" s="157">
        <f>MarTot.15</f>
        <v>0</v>
      </c>
      <c r="G18" s="157">
        <f>AprTot.15</f>
        <v>0</v>
      </c>
      <c r="H18" s="157">
        <f>MayTot.15</f>
        <v>0</v>
      </c>
      <c r="I18" s="157">
        <f>JunTot.15</f>
        <v>0</v>
      </c>
      <c r="J18" s="157">
        <f>JulTot.15</f>
        <v>0</v>
      </c>
      <c r="K18" s="157">
        <f>AugTot.15</f>
        <v>0</v>
      </c>
      <c r="L18" s="157">
        <f>SepTot.15</f>
        <v>0</v>
      </c>
      <c r="M18" s="157">
        <f>OctTot.15</f>
        <v>0</v>
      </c>
      <c r="N18" s="157">
        <f>NovTot.15</f>
        <v>0</v>
      </c>
      <c r="O18" s="157">
        <f>DecTot.15</f>
        <v>0</v>
      </c>
      <c r="P18" s="158">
        <f t="shared" si="1"/>
        <v>0</v>
      </c>
      <c r="Q18" s="159" t="str">
        <f t="shared" si="0"/>
        <v/>
      </c>
    </row>
    <row r="19" spans="2:19" ht="13" customHeight="1">
      <c r="B19" s="339" t="str">
        <f>IFERROR(Project.16&amp;" "&amp;WP.16&amp;" "&amp;Contract.16&amp;" "&amp;Type.16&amp;" "&amp;Activity.16," ")</f>
        <v xml:space="preserve">    </v>
      </c>
      <c r="C19" s="339"/>
      <c r="D19" s="157">
        <f>JanTot.16</f>
        <v>0</v>
      </c>
      <c r="E19" s="157">
        <f>FebTot.16</f>
        <v>0</v>
      </c>
      <c r="F19" s="157">
        <f>MarTot.16</f>
        <v>0</v>
      </c>
      <c r="G19" s="157">
        <f>AprTot.16</f>
        <v>0</v>
      </c>
      <c r="H19" s="157">
        <f>MayTot.16</f>
        <v>0</v>
      </c>
      <c r="I19" s="157">
        <f>JunTot.16</f>
        <v>0</v>
      </c>
      <c r="J19" s="157">
        <f>JulTot.16</f>
        <v>0</v>
      </c>
      <c r="K19" s="157">
        <f>AugTot.16</f>
        <v>0</v>
      </c>
      <c r="L19" s="157">
        <f>SepTot.16</f>
        <v>0</v>
      </c>
      <c r="M19" s="157">
        <f>OctTot.16</f>
        <v>0</v>
      </c>
      <c r="N19" s="157">
        <f>NovTot.16</f>
        <v>0</v>
      </c>
      <c r="O19" s="157">
        <f>DecTot.16</f>
        <v>0</v>
      </c>
      <c r="P19" s="158">
        <f t="shared" si="1"/>
        <v>0</v>
      </c>
      <c r="Q19" s="159" t="str">
        <f t="shared" si="0"/>
        <v/>
      </c>
    </row>
    <row r="20" spans="2:19" ht="13" customHeight="1">
      <c r="B20" s="339" t="str">
        <f>IFERROR(Project.17&amp;" "&amp;WP.17&amp;" "&amp;Contract.17&amp;" "&amp;Type.17&amp;" "&amp;Activity.17," ")</f>
        <v xml:space="preserve">    </v>
      </c>
      <c r="C20" s="339"/>
      <c r="D20" s="157">
        <f>JanTot.17</f>
        <v>0</v>
      </c>
      <c r="E20" s="157">
        <f>FebTot.17</f>
        <v>0</v>
      </c>
      <c r="F20" s="157">
        <f>MarTot.17</f>
        <v>0</v>
      </c>
      <c r="G20" s="157">
        <f>AprTot.17</f>
        <v>0</v>
      </c>
      <c r="H20" s="157">
        <f>MayTot.17</f>
        <v>0</v>
      </c>
      <c r="I20" s="157">
        <f>JunTot.17</f>
        <v>0</v>
      </c>
      <c r="J20" s="157">
        <f>JulTot.17</f>
        <v>0</v>
      </c>
      <c r="K20" s="157">
        <f>AugTot.17</f>
        <v>0</v>
      </c>
      <c r="L20" s="157">
        <f>SepTot.17</f>
        <v>0</v>
      </c>
      <c r="M20" s="157">
        <f>OctTot.17</f>
        <v>0</v>
      </c>
      <c r="N20" s="157">
        <f>NovTot.17</f>
        <v>0</v>
      </c>
      <c r="O20" s="157">
        <f>DecTot.17</f>
        <v>0</v>
      </c>
      <c r="P20" s="158">
        <f t="shared" si="1"/>
        <v>0</v>
      </c>
      <c r="Q20" s="159" t="str">
        <f t="shared" si="0"/>
        <v/>
      </c>
    </row>
    <row r="21" spans="2:19" ht="13" customHeight="1">
      <c r="B21" s="339" t="str">
        <f>IFERROR(Project.18&amp;" "&amp;WP.18&amp;" "&amp;Contract.18&amp;" "&amp;Type.18&amp;" "&amp;Activity.18," ")</f>
        <v xml:space="preserve">    </v>
      </c>
      <c r="C21" s="339"/>
      <c r="D21" s="157">
        <f>JanTot.18</f>
        <v>0</v>
      </c>
      <c r="E21" s="157">
        <f>FebTot.18</f>
        <v>0</v>
      </c>
      <c r="F21" s="157">
        <f>MarTot.18</f>
        <v>0</v>
      </c>
      <c r="G21" s="157">
        <f>AprTot.18</f>
        <v>0</v>
      </c>
      <c r="H21" s="157">
        <f>MayTot.18</f>
        <v>0</v>
      </c>
      <c r="I21" s="157">
        <f>JunTot.18</f>
        <v>0</v>
      </c>
      <c r="J21" s="157">
        <f>JulTot.18</f>
        <v>0</v>
      </c>
      <c r="K21" s="157">
        <f>AugTot.18</f>
        <v>0</v>
      </c>
      <c r="L21" s="157">
        <f>SepTot.18</f>
        <v>0</v>
      </c>
      <c r="M21" s="157">
        <f>OctTot.18</f>
        <v>0</v>
      </c>
      <c r="N21" s="157">
        <f>NovTot.18</f>
        <v>0</v>
      </c>
      <c r="O21" s="157">
        <f>DecTot.18</f>
        <v>0</v>
      </c>
      <c r="P21" s="158">
        <f t="shared" si="1"/>
        <v>0</v>
      </c>
      <c r="Q21" s="159" t="str">
        <f t="shared" si="0"/>
        <v/>
      </c>
    </row>
    <row r="22" spans="2:19" ht="13" customHeight="1">
      <c r="B22" s="339" t="str">
        <f>IFERROR(Project.19&amp;" "&amp;WP.19&amp;" "&amp;Contract.19&amp;" "&amp;Type.19&amp;" "&amp;Activity.19," ")</f>
        <v xml:space="preserve">    </v>
      </c>
      <c r="C22" s="339"/>
      <c r="D22" s="157">
        <f>JanTot.19</f>
        <v>0</v>
      </c>
      <c r="E22" s="157">
        <f>FebTot.19</f>
        <v>0</v>
      </c>
      <c r="F22" s="157">
        <f>MarTot.19</f>
        <v>0</v>
      </c>
      <c r="G22" s="157">
        <f>AprTot.19</f>
        <v>0</v>
      </c>
      <c r="H22" s="157">
        <f>MayTot.19</f>
        <v>0</v>
      </c>
      <c r="I22" s="157">
        <f>JunTot.19</f>
        <v>0</v>
      </c>
      <c r="J22" s="157">
        <f>JulTot.19</f>
        <v>0</v>
      </c>
      <c r="K22" s="157">
        <f>AugTot.19</f>
        <v>0</v>
      </c>
      <c r="L22" s="157">
        <f>SepTot.19</f>
        <v>0</v>
      </c>
      <c r="M22" s="157">
        <f>OctTot.19</f>
        <v>0</v>
      </c>
      <c r="N22" s="157">
        <f>NovTot.19</f>
        <v>0</v>
      </c>
      <c r="O22" s="157">
        <f>DecTot.19</f>
        <v>0</v>
      </c>
      <c r="P22" s="158">
        <f t="shared" si="1"/>
        <v>0</v>
      </c>
      <c r="Q22" s="159" t="str">
        <f t="shared" si="0"/>
        <v/>
      </c>
    </row>
    <row r="23" spans="2:19" ht="13" customHeight="1">
      <c r="B23" s="342" t="str">
        <f>IFERROR(Project.20&amp;" "&amp;WP.20&amp;" "&amp;Contract.20&amp;" "&amp;Type.20&amp;" "&amp;Activity.20," ")</f>
        <v xml:space="preserve">OTHER HOURS WORKED    </v>
      </c>
      <c r="C23" s="342"/>
      <c r="D23" s="157">
        <f>JanTot.20</f>
        <v>0</v>
      </c>
      <c r="E23" s="157">
        <f>FebTot.20</f>
        <v>0</v>
      </c>
      <c r="F23" s="157">
        <f>MarTot.20</f>
        <v>0</v>
      </c>
      <c r="G23" s="157">
        <f>AprTot.20</f>
        <v>0</v>
      </c>
      <c r="H23" s="157">
        <f>MayTot.20</f>
        <v>0</v>
      </c>
      <c r="I23" s="157">
        <f>JunTot.20</f>
        <v>0</v>
      </c>
      <c r="J23" s="157">
        <f>JulTot.20</f>
        <v>0</v>
      </c>
      <c r="K23" s="157">
        <f>AugTot.20</f>
        <v>0</v>
      </c>
      <c r="L23" s="157">
        <f>SepTot.20</f>
        <v>0</v>
      </c>
      <c r="M23" s="157">
        <f>OctTot.20</f>
        <v>0</v>
      </c>
      <c r="N23" s="157">
        <f>NovTot.20</f>
        <v>0</v>
      </c>
      <c r="O23" s="157">
        <f>DecTot.20</f>
        <v>0</v>
      </c>
      <c r="P23" s="158">
        <f t="shared" si="1"/>
        <v>0</v>
      </c>
      <c r="Q23" s="159" t="str">
        <f t="shared" si="0"/>
        <v/>
      </c>
    </row>
    <row r="24" spans="2:19" ht="13" customHeight="1">
      <c r="B24" s="207" t="s">
        <v>240</v>
      </c>
      <c r="C24" s="81"/>
      <c r="D24" s="161">
        <f>Jan!AI24</f>
        <v>0</v>
      </c>
      <c r="E24" s="161">
        <f>Feb!AI24</f>
        <v>0</v>
      </c>
      <c r="F24" s="161">
        <f>Mar!AI24</f>
        <v>0</v>
      </c>
      <c r="G24" s="161">
        <f>Apr!AI24</f>
        <v>0</v>
      </c>
      <c r="H24" s="161">
        <f>May!AI24</f>
        <v>0</v>
      </c>
      <c r="I24" s="161">
        <f>Jun!AI24</f>
        <v>0</v>
      </c>
      <c r="J24" s="161">
        <f>Jul!AI24</f>
        <v>0</v>
      </c>
      <c r="K24" s="161">
        <f>Aug!AI24</f>
        <v>0</v>
      </c>
      <c r="L24" s="161">
        <f>Sep!AI24</f>
        <v>0</v>
      </c>
      <c r="M24" s="161">
        <f>Oct!AI24</f>
        <v>0</v>
      </c>
      <c r="N24" s="161">
        <f>Nov!AI24</f>
        <v>0</v>
      </c>
      <c r="O24" s="161">
        <f>Dec!AI24</f>
        <v>0</v>
      </c>
      <c r="P24" s="161">
        <f>SUM(D24:O24)</f>
        <v>0</v>
      </c>
      <c r="Q24" s="206" t="str">
        <f>IFERROR(SUM(D24:O24)/$P$28,"")</f>
        <v/>
      </c>
    </row>
    <row r="25" spans="2:19" s="34" customFormat="1" ht="14.5">
      <c r="B25" s="162" t="s">
        <v>56</v>
      </c>
      <c r="C25" s="48"/>
      <c r="D25" s="163"/>
      <c r="E25" s="163"/>
      <c r="F25" s="163"/>
      <c r="G25" s="163"/>
      <c r="H25" s="163"/>
      <c r="I25" s="163"/>
      <c r="J25" s="163"/>
      <c r="K25" s="163"/>
      <c r="L25" s="163"/>
      <c r="M25" s="163"/>
      <c r="N25" s="163"/>
      <c r="O25" s="163"/>
      <c r="P25" s="163"/>
      <c r="Q25" s="48"/>
      <c r="S25" s="127"/>
    </row>
    <row r="26" spans="2:19" ht="13" customHeight="1">
      <c r="B26" s="340" t="s">
        <v>4</v>
      </c>
      <c r="C26" s="341"/>
      <c r="D26" s="164">
        <f t="shared" ref="D26:O26" si="2">SUM(D4:D23)</f>
        <v>0</v>
      </c>
      <c r="E26" s="164">
        <f t="shared" si="2"/>
        <v>0</v>
      </c>
      <c r="F26" s="164">
        <f t="shared" si="2"/>
        <v>0</v>
      </c>
      <c r="G26" s="164">
        <f t="shared" si="2"/>
        <v>0</v>
      </c>
      <c r="H26" s="164">
        <f t="shared" si="2"/>
        <v>0</v>
      </c>
      <c r="I26" s="164">
        <f t="shared" si="2"/>
        <v>0</v>
      </c>
      <c r="J26" s="164">
        <f t="shared" si="2"/>
        <v>0</v>
      </c>
      <c r="K26" s="164">
        <f t="shared" si="2"/>
        <v>0</v>
      </c>
      <c r="L26" s="164">
        <f t="shared" si="2"/>
        <v>0</v>
      </c>
      <c r="M26" s="164">
        <f t="shared" si="2"/>
        <v>0</v>
      </c>
      <c r="N26" s="164">
        <f t="shared" si="2"/>
        <v>0</v>
      </c>
      <c r="O26" s="164">
        <f t="shared" si="2"/>
        <v>0</v>
      </c>
      <c r="P26" s="165">
        <f>SUM(D26:O26)</f>
        <v>0</v>
      </c>
      <c r="Q26" s="166"/>
    </row>
    <row r="27" spans="2:19" s="34" customFormat="1" ht="6" customHeight="1">
      <c r="B27" s="162" t="s">
        <v>56</v>
      </c>
      <c r="C27" s="48"/>
      <c r="D27" s="167"/>
      <c r="E27" s="167"/>
      <c r="F27" s="167"/>
      <c r="G27" s="167"/>
      <c r="H27" s="167"/>
      <c r="I27" s="167"/>
      <c r="J27" s="167"/>
      <c r="K27" s="167"/>
      <c r="L27" s="167"/>
      <c r="M27" s="167"/>
      <c r="N27" s="167"/>
      <c r="O27" s="167"/>
      <c r="P27" s="163"/>
      <c r="Q27" s="48"/>
      <c r="S27" s="127"/>
    </row>
    <row r="28" spans="2:19" ht="13" customHeight="1">
      <c r="B28" s="340" t="s">
        <v>5</v>
      </c>
      <c r="C28" s="341"/>
      <c r="D28" s="164">
        <f>SUM(D4:D24)</f>
        <v>0</v>
      </c>
      <c r="E28" s="164">
        <f t="shared" ref="E28:O28" si="3">SUM(E4:E24)</f>
        <v>0</v>
      </c>
      <c r="F28" s="164">
        <f t="shared" si="3"/>
        <v>0</v>
      </c>
      <c r="G28" s="164">
        <f t="shared" si="3"/>
        <v>0</v>
      </c>
      <c r="H28" s="164">
        <f t="shared" si="3"/>
        <v>0</v>
      </c>
      <c r="I28" s="164">
        <f t="shared" si="3"/>
        <v>0</v>
      </c>
      <c r="J28" s="164">
        <f t="shared" si="3"/>
        <v>0</v>
      </c>
      <c r="K28" s="164">
        <f t="shared" si="3"/>
        <v>0</v>
      </c>
      <c r="L28" s="164">
        <f t="shared" si="3"/>
        <v>0</v>
      </c>
      <c r="M28" s="164">
        <f t="shared" si="3"/>
        <v>0</v>
      </c>
      <c r="N28" s="164">
        <f t="shared" si="3"/>
        <v>0</v>
      </c>
      <c r="O28" s="164">
        <f t="shared" si="3"/>
        <v>0</v>
      </c>
      <c r="P28" s="165">
        <f>SUM(D28:O28)</f>
        <v>0</v>
      </c>
      <c r="Q28" s="166"/>
    </row>
    <row r="29" spans="2:19" ht="6" customHeight="1">
      <c r="B29" s="168" t="s">
        <v>56</v>
      </c>
      <c r="C29" s="169"/>
      <c r="D29" s="163"/>
      <c r="E29" s="163"/>
      <c r="F29" s="163"/>
      <c r="G29" s="163"/>
      <c r="H29" s="163"/>
      <c r="I29" s="163"/>
      <c r="J29" s="163"/>
      <c r="K29" s="163"/>
      <c r="L29" s="163"/>
      <c r="M29" s="163"/>
      <c r="N29" s="163"/>
      <c r="O29" s="163"/>
      <c r="P29" s="170"/>
      <c r="Q29" s="48"/>
    </row>
    <row r="30" spans="2:19" ht="12" customHeight="1">
      <c r="B30" s="340" t="s">
        <v>98</v>
      </c>
      <c r="C30" s="341"/>
      <c r="D30" s="171" t="str">
        <f>IFERROR(D28/$P$28,"")</f>
        <v/>
      </c>
      <c r="E30" s="171" t="str">
        <f t="shared" ref="E30:O30" si="4">IFERROR(E28/$P$28,"")</f>
        <v/>
      </c>
      <c r="F30" s="171" t="str">
        <f t="shared" si="4"/>
        <v/>
      </c>
      <c r="G30" s="171" t="str">
        <f t="shared" si="4"/>
        <v/>
      </c>
      <c r="H30" s="171" t="str">
        <f t="shared" si="4"/>
        <v/>
      </c>
      <c r="I30" s="171" t="str">
        <f t="shared" si="4"/>
        <v/>
      </c>
      <c r="J30" s="171" t="str">
        <f t="shared" si="4"/>
        <v/>
      </c>
      <c r="K30" s="171" t="str">
        <f t="shared" si="4"/>
        <v/>
      </c>
      <c r="L30" s="171" t="str">
        <f t="shared" si="4"/>
        <v/>
      </c>
      <c r="M30" s="171" t="str">
        <f t="shared" si="4"/>
        <v/>
      </c>
      <c r="N30" s="171" t="str">
        <f t="shared" si="4"/>
        <v/>
      </c>
      <c r="O30" s="171" t="str">
        <f t="shared" si="4"/>
        <v/>
      </c>
      <c r="P30" s="172"/>
      <c r="Q30" s="115"/>
    </row>
    <row r="31" spans="2:19" ht="12" customHeight="1">
      <c r="B31" s="63" t="s">
        <v>56</v>
      </c>
      <c r="C31" s="47"/>
      <c r="D31" s="47"/>
      <c r="E31" s="47"/>
      <c r="F31" s="64"/>
      <c r="G31" s="47"/>
      <c r="H31" s="47"/>
      <c r="I31" s="11"/>
      <c r="J31" s="47"/>
      <c r="K31" s="47"/>
      <c r="L31" s="76"/>
      <c r="M31" s="47"/>
      <c r="N31" s="47"/>
      <c r="O31" s="47"/>
      <c r="P31" s="155"/>
      <c r="Q31" s="58"/>
    </row>
    <row r="32" spans="2:19" ht="12" customHeight="1">
      <c r="B32" s="52"/>
      <c r="C32" s="47"/>
      <c r="D32" s="47"/>
      <c r="E32" s="47"/>
      <c r="F32" s="65"/>
      <c r="G32" s="47"/>
      <c r="H32" s="47"/>
      <c r="I32" s="47"/>
      <c r="J32" s="47"/>
      <c r="K32" s="47"/>
      <c r="L32" s="47"/>
      <c r="M32" s="47"/>
      <c r="N32" s="47"/>
      <c r="O32" s="47"/>
      <c r="P32" s="155"/>
      <c r="Q32" s="47"/>
    </row>
    <row r="33" spans="2:17" ht="12" customHeight="1">
      <c r="B33" s="47"/>
      <c r="C33" s="47"/>
      <c r="D33" s="47"/>
      <c r="E33" s="47"/>
      <c r="F33" s="65"/>
      <c r="G33" s="47"/>
      <c r="H33" s="65"/>
      <c r="I33" s="47"/>
      <c r="J33" s="47"/>
      <c r="K33" s="47"/>
      <c r="L33" s="47"/>
      <c r="M33" s="47"/>
      <c r="N33" s="47"/>
      <c r="O33" s="47"/>
      <c r="P33" s="59"/>
      <c r="Q33" s="62"/>
    </row>
    <row r="34" spans="2:17" ht="12" customHeight="1">
      <c r="B34" s="155"/>
      <c r="C34" s="47"/>
      <c r="D34" s="47"/>
      <c r="E34" s="47"/>
      <c r="F34" s="65"/>
      <c r="G34" s="47"/>
      <c r="H34" s="47"/>
      <c r="I34" s="47"/>
      <c r="J34" s="155"/>
      <c r="K34" s="47"/>
      <c r="L34" s="47"/>
      <c r="M34" s="47"/>
      <c r="N34" s="47"/>
      <c r="O34" s="47"/>
      <c r="P34" s="59"/>
      <c r="Q34" s="62"/>
    </row>
    <row r="35" spans="2:17" ht="12" customHeight="1">
      <c r="B35" s="52"/>
      <c r="C35" s="47"/>
      <c r="D35" s="47"/>
      <c r="E35" s="47"/>
      <c r="F35" s="65"/>
      <c r="G35" s="47"/>
      <c r="H35" s="52"/>
      <c r="I35" s="47"/>
      <c r="J35" s="47"/>
      <c r="K35" s="47"/>
      <c r="L35" s="47"/>
      <c r="M35" s="47"/>
      <c r="N35" s="47"/>
      <c r="O35" s="47"/>
      <c r="P35" s="59"/>
      <c r="Q35" s="47"/>
    </row>
    <row r="36" spans="2:17" ht="12" customHeight="1">
      <c r="B36" s="47"/>
      <c r="C36" s="47"/>
      <c r="D36" s="47"/>
      <c r="E36" s="47"/>
      <c r="F36" s="65"/>
      <c r="G36" s="47"/>
      <c r="H36" s="65"/>
      <c r="I36" s="47"/>
      <c r="J36" s="47"/>
      <c r="K36" s="47"/>
      <c r="L36" s="47"/>
      <c r="M36" s="47"/>
      <c r="N36" s="47"/>
      <c r="O36" s="47"/>
      <c r="P36" s="47"/>
      <c r="Q36" s="11"/>
    </row>
    <row r="37" spans="2:17" ht="14.5">
      <c r="B37" s="66"/>
      <c r="C37" s="66"/>
      <c r="D37" s="65"/>
      <c r="E37" s="65"/>
      <c r="F37" s="65"/>
      <c r="G37" s="65"/>
      <c r="H37" s="65"/>
      <c r="I37" s="65"/>
      <c r="J37" s="65"/>
      <c r="K37" s="65"/>
      <c r="L37" s="65"/>
      <c r="M37" s="65"/>
      <c r="N37" s="65"/>
      <c r="O37" s="65"/>
      <c r="P37" s="65"/>
    </row>
    <row r="38" spans="2:17" ht="15" hidden="1" customHeight="1">
      <c r="P38" s="34"/>
    </row>
    <row r="39" spans="2:17" ht="15" hidden="1" customHeight="1">
      <c r="P39" s="34"/>
    </row>
    <row r="40" spans="2:17" ht="15" hidden="1" customHeight="1">
      <c r="P40" s="34"/>
    </row>
    <row r="41" spans="2:17" ht="14.5" hidden="1">
      <c r="P41" s="34"/>
    </row>
    <row r="42" spans="2:17" ht="14.5" hidden="1">
      <c r="P42" s="34"/>
    </row>
    <row r="43" spans="2:17" ht="14.5" hidden="1"/>
    <row r="44" spans="2:17" ht="14.5" hidden="1"/>
    <row r="45" spans="2:17" ht="14.5" hidden="1"/>
    <row r="46" spans="2:17" ht="14.5" hidden="1"/>
    <row r="47" spans="2:17" ht="14.5" hidden="1"/>
    <row r="48" spans="2:17" ht="14.5" hidden="1"/>
    <row r="49" ht="14.5" hidden="1"/>
    <row r="50" ht="14.5" hidden="1"/>
    <row r="51" ht="14.5" hidden="1"/>
    <row r="52" ht="14.5" hidden="1"/>
    <row r="53" ht="14.5" hidden="1"/>
    <row r="54" ht="14.5" hidden="1"/>
    <row r="55" ht="14.5" hidden="1"/>
    <row r="56" ht="14.5" hidden="1"/>
    <row r="57" ht="14.5" hidden="1"/>
    <row r="58" ht="14.5" hidden="1"/>
    <row r="59" ht="14.5" hidden="1"/>
    <row r="60" ht="14.5" hidden="1"/>
    <row r="61" ht="14.5" hidden="1"/>
    <row r="62" ht="14.5" hidden="1"/>
    <row r="63" ht="14.5" hidden="1"/>
    <row r="64" ht="14.5" hidden="1"/>
    <row r="65" ht="14.5" hidden="1"/>
    <row r="66" ht="14.5" hidden="1"/>
    <row r="67" ht="14.5" hidden="1"/>
    <row r="68" ht="14.5" hidden="1"/>
    <row r="69" ht="14.5" hidden="1"/>
    <row r="70" ht="14.5" hidden="1"/>
    <row r="71" ht="14.5" hidden="1"/>
    <row r="72" ht="14.5" hidden="1"/>
    <row r="73" ht="14.5" hidden="1"/>
    <row r="74" ht="14.5" hidden="1"/>
    <row r="75" ht="14.5" hidden="1"/>
    <row r="76" ht="14.5" hidden="1"/>
    <row r="77" ht="14.5" hidden="1"/>
    <row r="78" ht="14.5" hidden="1"/>
    <row r="79" ht="14.5" hidden="1"/>
    <row r="80" ht="14.5" hidden="1"/>
    <row r="81" ht="14.5" hidden="1"/>
    <row r="82" ht="14.5" hidden="1"/>
    <row r="83" ht="14.5" hidden="1"/>
    <row r="84" ht="14.5" hidden="1"/>
    <row r="85" ht="14.5" hidden="1"/>
    <row r="86" ht="14.5"/>
    <row r="87" ht="14.5"/>
    <row r="88" ht="14.5"/>
    <row r="89" ht="14.5"/>
    <row r="90" ht="14.5"/>
    <row r="91" ht="14.5"/>
    <row r="92" ht="14.5"/>
    <row r="93" ht="14.5"/>
    <row r="94" ht="14.5"/>
    <row r="95" ht="14.5"/>
    <row r="96" ht="14.5"/>
    <row r="97" ht="14.5"/>
    <row r="98" ht="14.5"/>
    <row r="99" ht="14.5"/>
    <row r="100" ht="14.5"/>
    <row r="101" ht="14.5"/>
    <row r="102" ht="14.5"/>
    <row r="103" ht="14.5"/>
    <row r="104" ht="14.5"/>
    <row r="105" ht="14.5"/>
    <row r="106" ht="14.5"/>
    <row r="107" ht="14.5"/>
    <row r="108" ht="14.5"/>
    <row r="109" ht="14.5"/>
    <row r="110" ht="14.5"/>
    <row r="111" ht="14.5"/>
    <row r="112" ht="14.5"/>
    <row r="113" ht="14.5"/>
    <row r="114" ht="14.5"/>
    <row r="115" ht="14.5"/>
    <row r="116" ht="14.5"/>
    <row r="117" ht="14.5"/>
    <row r="118" ht="14.5"/>
    <row r="119" ht="14.5"/>
    <row r="120" ht="14.5"/>
    <row r="121" ht="14.5"/>
    <row r="122" ht="14.5"/>
    <row r="123" ht="14.5"/>
    <row r="124" ht="14.5"/>
    <row r="125" ht="14.5"/>
    <row r="126" ht="14.5"/>
    <row r="127" ht="14.5"/>
    <row r="128" ht="14.5"/>
    <row r="129" ht="14.5"/>
    <row r="130" ht="14.5"/>
    <row r="131" ht="14.5"/>
    <row r="132" ht="14.5"/>
    <row r="133" ht="14.5"/>
    <row r="134" ht="14.5"/>
    <row r="135" ht="14.5"/>
    <row r="136" ht="14.5"/>
    <row r="137" ht="14.5"/>
    <row r="138" ht="14.5"/>
    <row r="139" ht="14.5"/>
    <row r="140" ht="14.5"/>
    <row r="141" ht="14.5"/>
    <row r="142" ht="14.5"/>
    <row r="143" ht="14.5"/>
    <row r="144" ht="14.5"/>
    <row r="145" ht="14.5"/>
    <row r="146" ht="14.5"/>
    <row r="147" ht="14.5"/>
    <row r="148" ht="14.5"/>
    <row r="149" ht="14.5"/>
    <row r="150" ht="14.5"/>
    <row r="151" ht="14.5"/>
    <row r="152" ht="14.5"/>
    <row r="153" ht="14.5"/>
    <row r="154" ht="14.5"/>
    <row r="155" ht="14.5"/>
    <row r="156" ht="14.5"/>
    <row r="157" ht="14.5"/>
    <row r="158" ht="15" customHeight="1"/>
    <row r="159" ht="15" customHeight="1"/>
    <row r="160" ht="15" customHeight="1"/>
    <row r="161" ht="15" customHeight="1"/>
    <row r="162" ht="15" customHeight="1"/>
  </sheetData>
  <sheetProtection algorithmName="SHA-512" hashValue="LJs1wsmfDU0lwH+asO2K7/4H53zwGR0J+pNnzunlfD94oCQBeOisV8xnK2D37NbHxo0iBjtclITyN/hOsyaMHw==" saltValue="WhoZRFnzSYRzWyXxotid7w==" spinCount="100000" sheet="1" selectLockedCells="1" selectUnlockedCells="1"/>
  <mergeCells count="23">
    <mergeCell ref="B30:C30"/>
    <mergeCell ref="B8:C8"/>
    <mergeCell ref="B4:C4"/>
    <mergeCell ref="B5:C5"/>
    <mergeCell ref="B6:C6"/>
    <mergeCell ref="B7:C7"/>
    <mergeCell ref="B20:C20"/>
    <mergeCell ref="B9:C9"/>
    <mergeCell ref="B10:C10"/>
    <mergeCell ref="B11:C11"/>
    <mergeCell ref="B12:C12"/>
    <mergeCell ref="B13:C13"/>
    <mergeCell ref="B14:C14"/>
    <mergeCell ref="B15:C15"/>
    <mergeCell ref="B16:C16"/>
    <mergeCell ref="B17:C17"/>
    <mergeCell ref="B18:C18"/>
    <mergeCell ref="B19:C19"/>
    <mergeCell ref="B26:C26"/>
    <mergeCell ref="B28:C28"/>
    <mergeCell ref="B21:C21"/>
    <mergeCell ref="B22:C22"/>
    <mergeCell ref="B23:C23"/>
  </mergeCells>
  <conditionalFormatting sqref="D4:O23">
    <cfRule type="expression" dxfId="17" priority="17">
      <formula>D$2</formula>
    </cfRule>
  </conditionalFormatting>
  <conditionalFormatting sqref="J4:J7">
    <cfRule type="expression" dxfId="16" priority="18">
      <formula>J$2</formula>
    </cfRule>
  </conditionalFormatting>
  <conditionalFormatting sqref="D3:O3">
    <cfRule type="expression" dxfId="15" priority="16">
      <formula>MATCH(D3,INDIRECT("Fixed_weekdays[DateInYear]"),0)&gt;0</formula>
    </cfRule>
  </conditionalFormatting>
  <conditionalFormatting sqref="D3:O3">
    <cfRule type="expression" dxfId="14" priority="15">
      <formula>MATCH(D3,INDIRECT("Fixed_dates[DateInYear]"),0)&gt;0</formula>
    </cfRule>
  </conditionalFormatting>
  <conditionalFormatting sqref="D3:O3">
    <cfRule type="expression" dxfId="13" priority="14">
      <formula>AND(INDEX(INDIRECT("Shortened[WorkHours]"),MATCH(D3,INDIRECT("Shortened[DateInYear]"),0),0)&gt;0,INDEX(INDIRECT("Shortened[WorkHours]"),MATCH(D3,INDIRECT("Shortened[DateInYear]"),0),0)&lt;8)</formula>
    </cfRule>
  </conditionalFormatting>
  <conditionalFormatting sqref="D3:O3">
    <cfRule type="expression" dxfId="12" priority="13">
      <formula>AND(INDEX(INDIRECT("Clamp[WorkHours]"),MATCH(C3,INDIRECT("Clamp[DateInYear]"),0),0)&gt;0,INDEX(INDIRECT("Clamp[WorkHours]"),MATCH(C3,INDIRECT("Clamp[DateInYear]"),0),0)&lt;8)</formula>
    </cfRule>
  </conditionalFormatting>
  <conditionalFormatting sqref="D3:O3">
    <cfRule type="expression" dxfId="11" priority="11">
      <formula>INDEX(INDIRECT("Shortened[WorkHours]"),MATCH(D3,INDIRECT("Shortened[DateInYear]"),0),0)&gt;7</formula>
    </cfRule>
    <cfRule type="expression" dxfId="10" priority="12">
      <formula>INDEX(INDIRECT("Clamp[WorkHours]"),MATCH(D3,INDIRECT("Clamp[DateInYear]"),0),0)&gt;7</formula>
    </cfRule>
  </conditionalFormatting>
  <conditionalFormatting sqref="D3:O3">
    <cfRule type="expression" dxfId="9" priority="10">
      <formula>OR(WEEKDAY(D3,2)=6,WEEKDAY(D3,2)=7)</formula>
    </cfRule>
  </conditionalFormatting>
  <conditionalFormatting sqref="J18:J22">
    <cfRule type="expression" dxfId="8" priority="9">
      <formula>J$2</formula>
    </cfRule>
  </conditionalFormatting>
  <conditionalFormatting sqref="B4:C22">
    <cfRule type="containsText" dxfId="7" priority="1" operator="containsText" text="Other US">
      <formula>NOT(ISERROR(SEARCH("Other US",B4)))</formula>
    </cfRule>
    <cfRule type="containsText" dxfId="6" priority="2" operator="containsText" text="US Army">
      <formula>NOT(ISERROR(SEARCH("US Army",B4)))</formula>
    </cfRule>
    <cfRule type="containsText" dxfId="5" priority="4" operator="containsText" text="NIH">
      <formula>NOT(ISERROR(SEARCH("NIH",B4)))</formula>
    </cfRule>
    <cfRule type="containsText" dxfId="4" priority="5" operator="containsText" text="FP7">
      <formula>NOT(ISERROR(SEARCH("FP7",B4)))</formula>
    </cfRule>
    <cfRule type="containsText" dxfId="3" priority="6" operator="containsText" text="H2020">
      <formula>NOT(ISERROR(SEARCH("H2020",B4)))</formula>
    </cfRule>
    <cfRule type="containsText" dxfId="2" priority="7" operator="containsText" text="Sida">
      <formula>NOT(ISERROR(SEARCH("Sida",B4)))</formula>
    </cfRule>
    <cfRule type="containsText" dxfId="1" priority="8" operator="containsText" text="Other">
      <formula>NOT(ISERROR(SEARCH("Other",B4)))</formula>
    </cfRule>
  </conditionalFormatting>
  <printOptions horizontalCentered="1" verticalCentered="1"/>
  <pageMargins left="0.7" right="0.7" top="0.69125000000000003" bottom="0.75" header="0.3" footer="0.3"/>
  <pageSetup paperSize="9" scale="84" orientation="landscape" r:id="rId1"/>
  <headerFooter>
    <oddHeader>&amp;L&amp;16TIMESHEET OVERVIEW</oddHeader>
    <oddFooter>&amp;R&amp;G</oddFooter>
  </headerFooter>
  <legacyDrawingHF r:id="rId2"/>
  <extLst>
    <ext xmlns:x14="http://schemas.microsoft.com/office/spreadsheetml/2009/9/main" uri="{78C0D931-6437-407d-A8EE-F0AAD7539E65}">
      <x14:conditionalFormattings>
        <x14:conditionalFormatting xmlns:xm="http://schemas.microsoft.com/office/excel/2006/main">
          <x14:cfRule type="containsText" priority="3" operator="containsText" id="{F62D1D78-51ED-4232-9917-9C698743DD21}">
            <xm:f>NOT(ISERROR(SEARCH("Non-project",B4)))</xm:f>
            <xm:f>"Non-project"</xm:f>
            <x14:dxf>
              <fill>
                <patternFill>
                  <bgColor theme="6" tint="0.59996337778862885"/>
                </patternFill>
              </fill>
            </x14:dxf>
          </x14:cfRule>
          <xm:sqref>B4:C22</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Blad1"/>
  <dimension ref="B2:F102"/>
  <sheetViews>
    <sheetView showGridLines="0" workbookViewId="0">
      <selection activeCell="D11" sqref="D11"/>
    </sheetView>
  </sheetViews>
  <sheetFormatPr defaultRowHeight="14.5"/>
  <sheetData>
    <row r="2" spans="2:6">
      <c r="B2" t="s">
        <v>64</v>
      </c>
      <c r="D2" t="s">
        <v>65</v>
      </c>
      <c r="F2" t="s">
        <v>69</v>
      </c>
    </row>
    <row r="3" spans="2:6">
      <c r="B3" t="s">
        <v>58</v>
      </c>
      <c r="D3" t="s">
        <v>14</v>
      </c>
      <c r="F3" t="s">
        <v>112</v>
      </c>
    </row>
    <row r="4" spans="2:6">
      <c r="B4" t="s">
        <v>59</v>
      </c>
      <c r="D4" t="s">
        <v>110</v>
      </c>
      <c r="F4" t="s">
        <v>114</v>
      </c>
    </row>
    <row r="5" spans="2:6">
      <c r="B5" t="s">
        <v>254</v>
      </c>
      <c r="D5" t="s">
        <v>2</v>
      </c>
      <c r="F5" t="s">
        <v>115</v>
      </c>
    </row>
    <row r="6" spans="2:6">
      <c r="B6" t="s">
        <v>60</v>
      </c>
      <c r="D6" t="s">
        <v>13</v>
      </c>
      <c r="F6" t="s">
        <v>113</v>
      </c>
    </row>
    <row r="7" spans="2:6">
      <c r="B7" t="s">
        <v>61</v>
      </c>
      <c r="D7" t="s">
        <v>67</v>
      </c>
      <c r="F7" t="s">
        <v>116</v>
      </c>
    </row>
    <row r="8" spans="2:6">
      <c r="B8" t="s">
        <v>62</v>
      </c>
      <c r="D8" t="s">
        <v>68</v>
      </c>
      <c r="F8" t="s">
        <v>117</v>
      </c>
    </row>
    <row r="9" spans="2:6">
      <c r="B9" t="s">
        <v>63</v>
      </c>
      <c r="F9" t="s">
        <v>118</v>
      </c>
    </row>
    <row r="10" spans="2:6">
      <c r="B10" t="s">
        <v>13</v>
      </c>
      <c r="F10" t="s">
        <v>119</v>
      </c>
    </row>
    <row r="11" spans="2:6">
      <c r="F11" t="s">
        <v>120</v>
      </c>
    </row>
    <row r="12" spans="2:6">
      <c r="F12" t="s">
        <v>121</v>
      </c>
    </row>
    <row r="13" spans="2:6">
      <c r="F13" t="s">
        <v>122</v>
      </c>
    </row>
    <row r="14" spans="2:6">
      <c r="F14" t="s">
        <v>123</v>
      </c>
    </row>
    <row r="15" spans="2:6">
      <c r="F15" t="s">
        <v>124</v>
      </c>
    </row>
    <row r="16" spans="2:6">
      <c r="F16" t="s">
        <v>125</v>
      </c>
    </row>
    <row r="17" spans="6:6">
      <c r="F17" t="s">
        <v>126</v>
      </c>
    </row>
    <row r="18" spans="6:6">
      <c r="F18" t="s">
        <v>127</v>
      </c>
    </row>
    <row r="19" spans="6:6">
      <c r="F19" t="s">
        <v>128</v>
      </c>
    </row>
    <row r="20" spans="6:6">
      <c r="F20" t="s">
        <v>129</v>
      </c>
    </row>
    <row r="21" spans="6:6">
      <c r="F21" t="s">
        <v>130</v>
      </c>
    </row>
    <row r="22" spans="6:6">
      <c r="F22" t="s">
        <v>131</v>
      </c>
    </row>
    <row r="23" spans="6:6">
      <c r="F23" t="s">
        <v>132</v>
      </c>
    </row>
    <row r="24" spans="6:6">
      <c r="F24" t="s">
        <v>133</v>
      </c>
    </row>
    <row r="25" spans="6:6">
      <c r="F25" t="s">
        <v>134</v>
      </c>
    </row>
    <row r="26" spans="6:6">
      <c r="F26" t="s">
        <v>135</v>
      </c>
    </row>
    <row r="27" spans="6:6">
      <c r="F27" t="s">
        <v>136</v>
      </c>
    </row>
    <row r="28" spans="6:6">
      <c r="F28" t="s">
        <v>137</v>
      </c>
    </row>
    <row r="29" spans="6:6">
      <c r="F29" t="s">
        <v>138</v>
      </c>
    </row>
    <row r="30" spans="6:6">
      <c r="F30" t="s">
        <v>139</v>
      </c>
    </row>
    <row r="31" spans="6:6">
      <c r="F31" t="s">
        <v>140</v>
      </c>
    </row>
    <row r="32" spans="6:6">
      <c r="F32" t="s">
        <v>141</v>
      </c>
    </row>
    <row r="33" spans="6:6">
      <c r="F33" t="s">
        <v>142</v>
      </c>
    </row>
    <row r="34" spans="6:6">
      <c r="F34" t="s">
        <v>143</v>
      </c>
    </row>
    <row r="35" spans="6:6">
      <c r="F35" t="s">
        <v>144</v>
      </c>
    </row>
    <row r="36" spans="6:6">
      <c r="F36" t="s">
        <v>145</v>
      </c>
    </row>
    <row r="37" spans="6:6">
      <c r="F37" t="s">
        <v>146</v>
      </c>
    </row>
    <row r="38" spans="6:6">
      <c r="F38" t="s">
        <v>147</v>
      </c>
    </row>
    <row r="39" spans="6:6">
      <c r="F39" t="s">
        <v>148</v>
      </c>
    </row>
    <row r="40" spans="6:6">
      <c r="F40" t="s">
        <v>149</v>
      </c>
    </row>
    <row r="41" spans="6:6">
      <c r="F41" t="s">
        <v>150</v>
      </c>
    </row>
    <row r="42" spans="6:6">
      <c r="F42" t="s">
        <v>151</v>
      </c>
    </row>
    <row r="43" spans="6:6">
      <c r="F43" t="s">
        <v>152</v>
      </c>
    </row>
    <row r="44" spans="6:6">
      <c r="F44" t="s">
        <v>153</v>
      </c>
    </row>
    <row r="45" spans="6:6">
      <c r="F45" t="s">
        <v>154</v>
      </c>
    </row>
    <row r="46" spans="6:6">
      <c r="F46" t="s">
        <v>155</v>
      </c>
    </row>
    <row r="47" spans="6:6">
      <c r="F47" t="s">
        <v>156</v>
      </c>
    </row>
    <row r="48" spans="6:6">
      <c r="F48" t="s">
        <v>157</v>
      </c>
    </row>
    <row r="49" spans="6:6">
      <c r="F49" t="s">
        <v>158</v>
      </c>
    </row>
    <row r="50" spans="6:6">
      <c r="F50" t="s">
        <v>159</v>
      </c>
    </row>
    <row r="51" spans="6:6">
      <c r="F51" t="s">
        <v>160</v>
      </c>
    </row>
    <row r="52" spans="6:6">
      <c r="F52" t="s">
        <v>161</v>
      </c>
    </row>
    <row r="53" spans="6:6">
      <c r="F53" t="s">
        <v>162</v>
      </c>
    </row>
    <row r="54" spans="6:6">
      <c r="F54" t="s">
        <v>163</v>
      </c>
    </row>
    <row r="55" spans="6:6">
      <c r="F55" t="s">
        <v>164</v>
      </c>
    </row>
    <row r="56" spans="6:6">
      <c r="F56" t="s">
        <v>165</v>
      </c>
    </row>
    <row r="57" spans="6:6">
      <c r="F57" t="s">
        <v>166</v>
      </c>
    </row>
    <row r="58" spans="6:6">
      <c r="F58" t="s">
        <v>167</v>
      </c>
    </row>
    <row r="59" spans="6:6">
      <c r="F59" t="s">
        <v>168</v>
      </c>
    </row>
    <row r="60" spans="6:6">
      <c r="F60" t="s">
        <v>169</v>
      </c>
    </row>
    <row r="61" spans="6:6">
      <c r="F61" t="s">
        <v>170</v>
      </c>
    </row>
    <row r="62" spans="6:6">
      <c r="F62" t="s">
        <v>171</v>
      </c>
    </row>
    <row r="63" spans="6:6">
      <c r="F63" t="s">
        <v>172</v>
      </c>
    </row>
    <row r="64" spans="6:6">
      <c r="F64" t="s">
        <v>173</v>
      </c>
    </row>
    <row r="65" spans="6:6">
      <c r="F65" t="s">
        <v>174</v>
      </c>
    </row>
    <row r="66" spans="6:6">
      <c r="F66" t="s">
        <v>175</v>
      </c>
    </row>
    <row r="67" spans="6:6">
      <c r="F67" t="s">
        <v>176</v>
      </c>
    </row>
    <row r="68" spans="6:6">
      <c r="F68" t="s">
        <v>177</v>
      </c>
    </row>
    <row r="69" spans="6:6">
      <c r="F69" t="s">
        <v>178</v>
      </c>
    </row>
    <row r="70" spans="6:6">
      <c r="F70" t="s">
        <v>179</v>
      </c>
    </row>
    <row r="71" spans="6:6">
      <c r="F71" t="s">
        <v>180</v>
      </c>
    </row>
    <row r="72" spans="6:6">
      <c r="F72" t="s">
        <v>181</v>
      </c>
    </row>
    <row r="73" spans="6:6">
      <c r="F73" t="s">
        <v>182</v>
      </c>
    </row>
    <row r="74" spans="6:6">
      <c r="F74" t="s">
        <v>183</v>
      </c>
    </row>
    <row r="75" spans="6:6">
      <c r="F75" t="s">
        <v>184</v>
      </c>
    </row>
    <row r="76" spans="6:6">
      <c r="F76" t="s">
        <v>185</v>
      </c>
    </row>
    <row r="77" spans="6:6">
      <c r="F77" t="s">
        <v>186</v>
      </c>
    </row>
    <row r="78" spans="6:6">
      <c r="F78" t="s">
        <v>187</v>
      </c>
    </row>
    <row r="79" spans="6:6">
      <c r="F79" t="s">
        <v>188</v>
      </c>
    </row>
    <row r="80" spans="6:6">
      <c r="F80" t="s">
        <v>189</v>
      </c>
    </row>
    <row r="81" spans="6:6">
      <c r="F81" t="s">
        <v>190</v>
      </c>
    </row>
    <row r="82" spans="6:6">
      <c r="F82" t="s">
        <v>191</v>
      </c>
    </row>
    <row r="83" spans="6:6">
      <c r="F83" t="s">
        <v>192</v>
      </c>
    </row>
    <row r="84" spans="6:6">
      <c r="F84" t="s">
        <v>193</v>
      </c>
    </row>
    <row r="85" spans="6:6">
      <c r="F85" t="s">
        <v>194</v>
      </c>
    </row>
    <row r="86" spans="6:6">
      <c r="F86" t="s">
        <v>195</v>
      </c>
    </row>
    <row r="87" spans="6:6">
      <c r="F87" t="s">
        <v>196</v>
      </c>
    </row>
    <row r="88" spans="6:6">
      <c r="F88" t="s">
        <v>197</v>
      </c>
    </row>
    <row r="89" spans="6:6">
      <c r="F89" t="s">
        <v>198</v>
      </c>
    </row>
    <row r="90" spans="6:6">
      <c r="F90" t="s">
        <v>199</v>
      </c>
    </row>
    <row r="91" spans="6:6">
      <c r="F91" t="s">
        <v>200</v>
      </c>
    </row>
    <row r="92" spans="6:6">
      <c r="F92" t="s">
        <v>201</v>
      </c>
    </row>
    <row r="93" spans="6:6">
      <c r="F93" t="s">
        <v>202</v>
      </c>
    </row>
    <row r="94" spans="6:6">
      <c r="F94" t="s">
        <v>203</v>
      </c>
    </row>
    <row r="95" spans="6:6">
      <c r="F95" t="s">
        <v>204</v>
      </c>
    </row>
    <row r="96" spans="6:6">
      <c r="F96" t="s">
        <v>205</v>
      </c>
    </row>
    <row r="97" spans="6:6">
      <c r="F97" t="s">
        <v>206</v>
      </c>
    </row>
    <row r="98" spans="6:6">
      <c r="F98" t="s">
        <v>207</v>
      </c>
    </row>
    <row r="99" spans="6:6">
      <c r="F99" t="s">
        <v>208</v>
      </c>
    </row>
    <row r="100" spans="6:6">
      <c r="F100" t="s">
        <v>209</v>
      </c>
    </row>
    <row r="101" spans="6:6">
      <c r="F101" t="s">
        <v>210</v>
      </c>
    </row>
    <row r="102" spans="6:6">
      <c r="F102" t="s">
        <v>211</v>
      </c>
    </row>
  </sheetData>
  <sheetProtection selectLockedCells="1" selectUnlockedCells="1"/>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tabColor rgb="FFFF0000"/>
    <pageSetUpPr fitToPage="1"/>
  </sheetPr>
  <dimension ref="A1:H36"/>
  <sheetViews>
    <sheetView showGridLines="0" showRowColHeaders="0" zoomScale="70" zoomScaleNormal="70" zoomScaleSheetLayoutView="70" workbookViewId="0">
      <selection activeCell="B4" sqref="B4:C27"/>
    </sheetView>
  </sheetViews>
  <sheetFormatPr defaultColWidth="0" defaultRowHeight="15" customHeight="1" zeroHeight="1"/>
  <cols>
    <col min="1" max="1" width="4" style="5" customWidth="1"/>
    <col min="2" max="2" width="17.1796875" customWidth="1"/>
    <col min="3" max="3" width="54.7265625" customWidth="1"/>
    <col min="4" max="4" width="1.7265625" customWidth="1"/>
    <col min="5" max="5" width="14.54296875" style="4" customWidth="1"/>
    <col min="6" max="6" width="24.81640625" customWidth="1"/>
    <col min="7" max="7" width="9.453125" customWidth="1"/>
    <col min="8" max="8" width="26.54296875" customWidth="1"/>
    <col min="9" max="9" width="2.81640625" customWidth="1"/>
    <col min="16384" max="16384" width="0" hidden="1" customWidth="1"/>
  </cols>
  <sheetData>
    <row r="1" spans="1:8" ht="12" customHeight="1">
      <c r="B1" s="3"/>
      <c r="C1" s="3"/>
      <c r="D1" s="3"/>
      <c r="E1" s="3"/>
      <c r="F1" s="3"/>
      <c r="G1" s="3"/>
      <c r="H1" s="3"/>
    </row>
    <row r="2" spans="1:8" ht="25.5" customHeight="1">
      <c r="A2" s="176"/>
      <c r="B2" s="256" t="s">
        <v>100</v>
      </c>
      <c r="C2" s="257"/>
      <c r="D2" s="257"/>
      <c r="E2" s="257"/>
      <c r="F2" s="257"/>
      <c r="G2" s="257"/>
      <c r="H2" s="258"/>
    </row>
    <row r="3" spans="1:8" ht="14.5">
      <c r="A3" s="259"/>
      <c r="B3" s="240"/>
      <c r="C3" s="240"/>
      <c r="D3" s="240"/>
      <c r="E3" s="240"/>
      <c r="F3" s="240"/>
      <c r="G3" s="240"/>
      <c r="H3" s="240"/>
    </row>
    <row r="4" spans="1:8" s="8" customFormat="1" ht="15" customHeight="1">
      <c r="A4" s="70"/>
      <c r="B4" s="261" t="s">
        <v>228</v>
      </c>
      <c r="C4" s="262"/>
      <c r="D4" s="41"/>
      <c r="E4" s="267" t="s">
        <v>216</v>
      </c>
      <c r="F4" s="268"/>
      <c r="G4" s="268"/>
      <c r="H4" s="269"/>
    </row>
    <row r="5" spans="1:8" s="8" customFormat="1" ht="15" customHeight="1">
      <c r="A5" s="70"/>
      <c r="B5" s="263"/>
      <c r="C5" s="264"/>
      <c r="D5" s="32"/>
      <c r="E5" s="270"/>
      <c r="F5" s="271"/>
      <c r="G5" s="271"/>
      <c r="H5" s="272"/>
    </row>
    <row r="6" spans="1:8" s="8" customFormat="1" ht="15" customHeight="1">
      <c r="A6" s="71"/>
      <c r="B6" s="263"/>
      <c r="C6" s="264"/>
      <c r="D6" s="32"/>
      <c r="E6" s="270"/>
      <c r="F6" s="271"/>
      <c r="G6" s="271"/>
      <c r="H6" s="272"/>
    </row>
    <row r="7" spans="1:8" s="8" customFormat="1" ht="15" customHeight="1">
      <c r="A7" s="71"/>
      <c r="B7" s="263"/>
      <c r="C7" s="264"/>
      <c r="D7" s="69"/>
      <c r="E7" s="270"/>
      <c r="F7" s="271"/>
      <c r="G7" s="271"/>
      <c r="H7" s="272"/>
    </row>
    <row r="8" spans="1:8" s="8" customFormat="1" ht="15" customHeight="1">
      <c r="A8" s="71"/>
      <c r="B8" s="263"/>
      <c r="C8" s="264"/>
      <c r="D8" s="9"/>
      <c r="E8" s="270"/>
      <c r="F8" s="271"/>
      <c r="G8" s="271"/>
      <c r="H8" s="272"/>
    </row>
    <row r="9" spans="1:8" s="8" customFormat="1" ht="15" customHeight="1">
      <c r="A9" s="70"/>
      <c r="B9" s="263"/>
      <c r="C9" s="264"/>
      <c r="D9" s="69"/>
      <c r="E9" s="270"/>
      <c r="F9" s="271"/>
      <c r="G9" s="271"/>
      <c r="H9" s="272"/>
    </row>
    <row r="10" spans="1:8" s="8" customFormat="1" ht="15" customHeight="1">
      <c r="A10" s="70"/>
      <c r="B10" s="263"/>
      <c r="C10" s="264"/>
      <c r="D10" s="9"/>
      <c r="E10" s="270"/>
      <c r="F10" s="271"/>
      <c r="G10" s="271"/>
      <c r="H10" s="272"/>
    </row>
    <row r="11" spans="1:8" s="8" customFormat="1" ht="15" customHeight="1">
      <c r="A11" s="70"/>
      <c r="B11" s="263"/>
      <c r="C11" s="264"/>
      <c r="D11" s="31"/>
      <c r="E11" s="270"/>
      <c r="F11" s="271"/>
      <c r="G11" s="271"/>
      <c r="H11" s="272"/>
    </row>
    <row r="12" spans="1:8" s="8" customFormat="1" ht="15" customHeight="1">
      <c r="A12" s="71"/>
      <c r="B12" s="263"/>
      <c r="C12" s="264"/>
      <c r="D12" s="31"/>
      <c r="E12" s="270"/>
      <c r="F12" s="271"/>
      <c r="G12" s="271"/>
      <c r="H12" s="272"/>
    </row>
    <row r="13" spans="1:8" s="8" customFormat="1" ht="15" customHeight="1">
      <c r="A13" s="71"/>
      <c r="B13" s="263"/>
      <c r="C13" s="264"/>
      <c r="D13" s="31"/>
      <c r="E13" s="270"/>
      <c r="F13" s="271"/>
      <c r="G13" s="271"/>
      <c r="H13" s="272"/>
    </row>
    <row r="14" spans="1:8" s="8" customFormat="1" ht="15" customHeight="1">
      <c r="A14" s="70"/>
      <c r="B14" s="263"/>
      <c r="C14" s="264"/>
      <c r="D14" s="31"/>
      <c r="E14" s="270"/>
      <c r="F14" s="271"/>
      <c r="G14" s="271"/>
      <c r="H14" s="272"/>
    </row>
    <row r="15" spans="1:8" s="8" customFormat="1" ht="15" customHeight="1">
      <c r="A15" s="72"/>
      <c r="B15" s="263"/>
      <c r="C15" s="264"/>
      <c r="D15" s="32"/>
      <c r="E15" s="270"/>
      <c r="F15" s="271"/>
      <c r="G15" s="271"/>
      <c r="H15" s="272"/>
    </row>
    <row r="16" spans="1:8" s="8" customFormat="1" ht="15" customHeight="1">
      <c r="A16" s="72"/>
      <c r="B16" s="263"/>
      <c r="C16" s="264"/>
      <c r="D16" s="41"/>
      <c r="E16" s="270"/>
      <c r="F16" s="271"/>
      <c r="G16" s="271"/>
      <c r="H16" s="272"/>
    </row>
    <row r="17" spans="1:8" s="8" customFormat="1" ht="15" customHeight="1">
      <c r="A17" s="72"/>
      <c r="B17" s="263"/>
      <c r="C17" s="264"/>
      <c r="D17" s="32"/>
      <c r="E17" s="270"/>
      <c r="F17" s="271"/>
      <c r="G17" s="271"/>
      <c r="H17" s="272"/>
    </row>
    <row r="18" spans="1:8" s="8" customFormat="1" ht="15" customHeight="1">
      <c r="A18" s="70"/>
      <c r="B18" s="263"/>
      <c r="C18" s="264"/>
      <c r="D18" s="31"/>
      <c r="E18" s="270"/>
      <c r="F18" s="271"/>
      <c r="G18" s="271"/>
      <c r="H18" s="272"/>
    </row>
    <row r="19" spans="1:8" s="8" customFormat="1" ht="15" customHeight="1">
      <c r="A19" s="70"/>
      <c r="B19" s="263"/>
      <c r="C19" s="264"/>
      <c r="D19" s="31"/>
      <c r="E19" s="270"/>
      <c r="F19" s="271"/>
      <c r="G19" s="271"/>
      <c r="H19" s="272"/>
    </row>
    <row r="20" spans="1:8" s="8" customFormat="1" ht="15" customHeight="1">
      <c r="A20" s="72"/>
      <c r="B20" s="263"/>
      <c r="C20" s="264"/>
      <c r="D20" s="32"/>
      <c r="E20" s="270"/>
      <c r="F20" s="271"/>
      <c r="G20" s="271"/>
      <c r="H20" s="272"/>
    </row>
    <row r="21" spans="1:8" s="8" customFormat="1" ht="15" customHeight="1">
      <c r="A21" s="70"/>
      <c r="B21" s="263"/>
      <c r="C21" s="264"/>
      <c r="D21" s="32"/>
      <c r="E21" s="270"/>
      <c r="F21" s="271"/>
      <c r="G21" s="271"/>
      <c r="H21" s="272"/>
    </row>
    <row r="22" spans="1:8" s="8" customFormat="1" ht="15" customHeight="1">
      <c r="A22" s="73"/>
      <c r="B22" s="263"/>
      <c r="C22" s="264"/>
      <c r="D22" s="31"/>
      <c r="E22" s="270"/>
      <c r="F22" s="271"/>
      <c r="G22" s="271"/>
      <c r="H22" s="272"/>
    </row>
    <row r="23" spans="1:8" s="8" customFormat="1" ht="15" customHeight="1">
      <c r="A23" s="70"/>
      <c r="B23" s="263"/>
      <c r="C23" s="264"/>
      <c r="D23" s="31"/>
      <c r="E23" s="270"/>
      <c r="F23" s="271"/>
      <c r="G23" s="271"/>
      <c r="H23" s="272"/>
    </row>
    <row r="24" spans="1:8" s="8" customFormat="1" ht="15" customHeight="1">
      <c r="A24" s="73"/>
      <c r="B24" s="263"/>
      <c r="C24" s="264"/>
      <c r="D24" s="32"/>
      <c r="E24" s="270"/>
      <c r="F24" s="271"/>
      <c r="G24" s="271"/>
      <c r="H24" s="272"/>
    </row>
    <row r="25" spans="1:8" s="8" customFormat="1" ht="22.5" customHeight="1">
      <c r="A25" s="73"/>
      <c r="B25" s="263"/>
      <c r="C25" s="264"/>
      <c r="D25" s="32"/>
      <c r="E25" s="270"/>
      <c r="F25" s="271"/>
      <c r="G25" s="271"/>
      <c r="H25" s="272"/>
    </row>
    <row r="26" spans="1:8" s="8" customFormat="1" ht="25.5" customHeight="1">
      <c r="A26" s="70"/>
      <c r="B26" s="263"/>
      <c r="C26" s="264"/>
      <c r="D26" s="32"/>
      <c r="E26" s="270"/>
      <c r="F26" s="271"/>
      <c r="G26" s="271"/>
      <c r="H26" s="272"/>
    </row>
    <row r="27" spans="1:8" s="8" customFormat="1" ht="92.25" customHeight="1">
      <c r="A27" s="9"/>
      <c r="B27" s="265"/>
      <c r="C27" s="266"/>
      <c r="D27" s="42"/>
      <c r="E27" s="273"/>
      <c r="F27" s="274"/>
      <c r="G27" s="274"/>
      <c r="H27" s="275"/>
    </row>
    <row r="28" spans="1:8" ht="9.75" customHeight="1">
      <c r="A28" s="68"/>
      <c r="B28" s="3"/>
    </row>
    <row r="29" spans="1:8" s="7" customFormat="1" ht="34.5" customHeight="1">
      <c r="A29" s="74"/>
      <c r="B29" s="276" t="s">
        <v>111</v>
      </c>
      <c r="C29" s="277"/>
      <c r="D29" s="277"/>
      <c r="E29" s="277"/>
      <c r="F29" s="277"/>
      <c r="G29" s="278"/>
      <c r="H29" s="279"/>
    </row>
    <row r="30" spans="1:8" s="7" customFormat="1" ht="9.75" customHeight="1">
      <c r="A30" s="6"/>
      <c r="B30" s="43"/>
      <c r="C30" s="43"/>
      <c r="D30" s="43"/>
      <c r="E30" s="43"/>
      <c r="F30" s="43"/>
      <c r="G30" s="44"/>
      <c r="H30" s="44"/>
    </row>
    <row r="31" spans="1:8" s="7" customFormat="1" ht="34.5" customHeight="1">
      <c r="A31" s="156"/>
      <c r="B31" s="232" t="s">
        <v>212</v>
      </c>
      <c r="C31" s="233"/>
      <c r="D31" s="233"/>
      <c r="E31" s="233"/>
      <c r="F31" s="233"/>
      <c r="G31" s="234"/>
      <c r="H31" s="235"/>
    </row>
    <row r="32" spans="1:8" s="7" customFormat="1" ht="15" customHeight="1">
      <c r="A32" s="6"/>
      <c r="B32" s="43"/>
      <c r="C32" s="43"/>
      <c r="D32" s="43"/>
      <c r="E32" s="43"/>
      <c r="F32" s="43"/>
      <c r="G32" s="44"/>
      <c r="H32" s="44"/>
    </row>
    <row r="33" spans="1:8" s="7" customFormat="1" ht="15.75" customHeight="1">
      <c r="A33" s="6"/>
      <c r="B33" s="260"/>
      <c r="C33" s="260"/>
      <c r="D33" s="260"/>
      <c r="E33" s="260"/>
      <c r="F33" s="260"/>
      <c r="G33" s="260"/>
      <c r="H33" s="260"/>
    </row>
    <row r="34" spans="1:8" ht="15" customHeight="1"/>
    <row r="35" spans="1:8" ht="14.5" hidden="1" customHeight="1"/>
    <row r="36" spans="1:8" ht="14.5" hidden="1" customHeight="1"/>
  </sheetData>
  <sheetProtection algorithmName="SHA-512" hashValue="rK0mUoZP+8ynA6Fztp3Lzfr6HlGifFFeAvWzcFKn/kePjYBpVMTyKuu2B2oClqx0c0t8QYppkmTOdhoFbbopZw==" saltValue="wviWKpYCYiYl6r536nWAfA==" spinCount="100000" sheet="1" objects="1" scenarios="1" selectLockedCells="1" selectUnlockedCells="1"/>
  <mergeCells count="7">
    <mergeCell ref="B2:H2"/>
    <mergeCell ref="A3:H3"/>
    <mergeCell ref="B31:H31"/>
    <mergeCell ref="B33:H33"/>
    <mergeCell ref="B4:C27"/>
    <mergeCell ref="E4:H27"/>
    <mergeCell ref="B29:H29"/>
  </mergeCells>
  <printOptions horizontalCentered="1"/>
  <pageMargins left="0.19685039370078741" right="0.19685039370078741" top="1.79375" bottom="0.31496062992125984" header="0.31496062992125984" footer="0.31496062992125984"/>
  <pageSetup paperSize="9" scale="70" orientation="landscape" r:id="rId1"/>
  <headerFooter scaleWithDoc="0">
    <oddHeader>&amp;L&amp;"Arial Narrow,Fet"&amp;12&amp;G</oddHeader>
  </headerFooter>
  <legacyDrawingHF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loxAB_04">
    <tabColor theme="6" tint="0.39997558519241921"/>
    <pageSetUpPr autoPageBreaks="0" fitToPage="1"/>
  </sheetPr>
  <dimension ref="A1:AR170"/>
  <sheetViews>
    <sheetView zoomScale="70" zoomScaleNormal="70" workbookViewId="0"/>
  </sheetViews>
  <sheetFormatPr defaultColWidth="9.1796875" defaultRowHeight="14.5"/>
  <cols>
    <col min="1" max="1" width="2.7265625" style="222" customWidth="1"/>
    <col min="2" max="2" width="21.7265625" style="222" customWidth="1"/>
    <col min="3" max="3" width="38.81640625" style="222" customWidth="1"/>
    <col min="4" max="4" width="17.7265625" style="222" customWidth="1"/>
    <col min="5" max="5" width="12.1796875" style="222" hidden="1" customWidth="1"/>
    <col min="6" max="6" width="13.81640625" style="222" hidden="1" customWidth="1"/>
    <col min="7" max="7" width="8.453125" style="222" hidden="1" customWidth="1"/>
    <col min="8" max="8" width="10.26953125" style="222" hidden="1" customWidth="1"/>
    <col min="9" max="9" width="6.7265625" style="220" hidden="1" customWidth="1"/>
    <col min="10" max="10" width="4.26953125" style="222" hidden="1" customWidth="1"/>
    <col min="11" max="11" width="9.1796875" style="222" hidden="1" customWidth="1"/>
    <col min="12" max="12" width="2.7265625" style="222" hidden="1" customWidth="1"/>
    <col min="13" max="16" width="9.1796875" style="222" hidden="1" customWidth="1"/>
    <col min="17" max="22" width="9.1796875" style="222" customWidth="1"/>
    <col min="23" max="44" width="9.1796875" style="222"/>
    <col min="45" max="16384" width="9.1796875" style="220"/>
  </cols>
  <sheetData>
    <row r="1" spans="1:44" ht="15.5">
      <c r="A1" s="220"/>
      <c r="B1" s="221" t="str">
        <f>AloxÅr&amp;" HOLIDAY COLOR CODES  -  KAROLINSKA INSTITUTET"</f>
        <v>2021 HOLIDAY COLOR CODES  -  KAROLINSKA INSTITUTET</v>
      </c>
      <c r="C1" s="220"/>
      <c r="D1" s="220"/>
      <c r="E1" s="220"/>
      <c r="F1" s="220"/>
      <c r="G1" s="220"/>
      <c r="H1" s="220"/>
      <c r="S1" s="220"/>
      <c r="T1" s="220"/>
      <c r="U1" s="220"/>
      <c r="V1" s="220"/>
      <c r="W1" s="220"/>
      <c r="X1" s="220"/>
      <c r="Y1" s="220"/>
      <c r="Z1" s="220"/>
      <c r="AA1" s="220"/>
      <c r="AB1" s="220"/>
      <c r="AC1" s="220"/>
      <c r="AD1" s="220"/>
      <c r="AE1" s="220"/>
      <c r="AF1" s="220"/>
      <c r="AG1" s="220"/>
      <c r="AH1" s="220"/>
      <c r="AI1" s="220"/>
      <c r="AJ1" s="220"/>
      <c r="AK1" s="220"/>
      <c r="AL1" s="220"/>
      <c r="AM1" s="220"/>
      <c r="AN1" s="220"/>
      <c r="AO1" s="220"/>
      <c r="AP1" s="220"/>
      <c r="AQ1" s="220"/>
      <c r="AR1" s="220"/>
    </row>
    <row r="2" spans="1:44" ht="15" customHeight="1">
      <c r="A2" s="220"/>
      <c r="B2" s="220"/>
      <c r="C2" s="220"/>
      <c r="D2" s="220"/>
      <c r="E2" s="220"/>
      <c r="F2" s="220"/>
      <c r="G2" s="220"/>
      <c r="H2" s="220"/>
      <c r="S2" s="220"/>
      <c r="T2" s="220"/>
      <c r="U2" s="220"/>
      <c r="V2" s="220"/>
      <c r="W2" s="220"/>
      <c r="X2" s="220"/>
      <c r="Y2" s="220"/>
      <c r="Z2" s="220"/>
      <c r="AA2" s="220"/>
      <c r="AB2" s="220"/>
      <c r="AC2" s="220"/>
      <c r="AD2" s="220"/>
      <c r="AE2" s="220"/>
      <c r="AF2" s="220"/>
      <c r="AG2" s="220"/>
      <c r="AH2" s="220"/>
      <c r="AI2" s="220"/>
      <c r="AJ2" s="220"/>
      <c r="AK2" s="220"/>
      <c r="AL2" s="220"/>
      <c r="AM2" s="220"/>
      <c r="AN2" s="220"/>
      <c r="AO2" s="220"/>
      <c r="AP2" s="220"/>
      <c r="AQ2" s="220"/>
      <c r="AR2" s="220"/>
    </row>
    <row r="3" spans="1:44" ht="15" customHeight="1">
      <c r="A3" s="220"/>
      <c r="B3" s="223" t="s">
        <v>18</v>
      </c>
      <c r="C3" s="220"/>
      <c r="D3" s="220"/>
      <c r="E3" s="220"/>
      <c r="F3" s="220"/>
      <c r="G3" s="220"/>
      <c r="H3" s="220"/>
      <c r="AI3" s="220"/>
      <c r="AJ3" s="220"/>
      <c r="AK3" s="220"/>
      <c r="AL3" s="220"/>
      <c r="AM3" s="220"/>
      <c r="AN3" s="220"/>
      <c r="AO3" s="220"/>
      <c r="AP3" s="220"/>
      <c r="AQ3" s="220"/>
      <c r="AR3" s="220"/>
    </row>
    <row r="4" spans="1:44" ht="15" thickBot="1">
      <c r="A4" s="220"/>
      <c r="B4" s="24" t="s">
        <v>214</v>
      </c>
      <c r="C4" s="24" t="s">
        <v>51</v>
      </c>
      <c r="D4" s="24" t="s">
        <v>1</v>
      </c>
      <c r="E4" s="24" t="s">
        <v>52</v>
      </c>
      <c r="F4" s="24" t="s">
        <v>53</v>
      </c>
      <c r="G4" s="24" t="s">
        <v>54</v>
      </c>
      <c r="H4" s="24" t="s">
        <v>11</v>
      </c>
      <c r="I4" s="10" t="s">
        <v>55</v>
      </c>
      <c r="J4" s="17"/>
      <c r="K4" s="17"/>
      <c r="L4" s="17"/>
      <c r="M4" s="17" t="s">
        <v>39</v>
      </c>
      <c r="N4" s="17">
        <v>1</v>
      </c>
      <c r="O4" s="17"/>
      <c r="P4" s="17"/>
    </row>
    <row r="5" spans="1:44" ht="15" thickTop="1">
      <c r="A5" s="220"/>
      <c r="B5" s="150">
        <v>8</v>
      </c>
      <c r="C5" t="s">
        <v>15</v>
      </c>
      <c r="D5" s="21" t="s">
        <v>242</v>
      </c>
      <c r="E5" s="18" t="str">
        <f>CHOOSE(WEEKDAY(Fixed_weekdays[[#This Row],[DateInYear]],2),"Mon","Tue","Wed","Thu","Fri","Sat","Sun")</f>
        <v>Fri</v>
      </c>
      <c r="F5" s="19">
        <f>DATEVALUE(Fixed_weekdays[[#This Row],[Year]]&amp;"-"&amp;Fixed_weekdays[[#This Row],[Month]]&amp;"-"&amp;Fixed_weekdays[[#This Row],[Day]])</f>
        <v>44288</v>
      </c>
      <c r="G5" s="20">
        <f>AloxÅr</f>
        <v>2021</v>
      </c>
      <c r="H5" s="20">
        <f>+VLOOKUP(LEFT(Fixed_weekdays[[#This Row],[Date]],3),$M$4:$N$15,2,0)</f>
        <v>4</v>
      </c>
      <c r="I5" s="18" t="str">
        <f>IF(LEN(Fixed_weekdays[[#This Row],[Date]])=6,RIGHT(Fixed_weekdays[[#This Row],[Date]],2),RIGHT(Fixed_weekdays[[#This Row],[Date]],1))</f>
        <v>2</v>
      </c>
      <c r="J5" s="17"/>
      <c r="K5" s="17"/>
      <c r="L5" s="17"/>
      <c r="M5" s="17" t="s">
        <v>40</v>
      </c>
      <c r="N5" s="17">
        <f>+N4+1</f>
        <v>2</v>
      </c>
      <c r="O5" s="17"/>
      <c r="P5" s="17"/>
    </row>
    <row r="6" spans="1:44">
      <c r="A6" s="220"/>
      <c r="B6" s="150">
        <v>8</v>
      </c>
      <c r="C6" t="s">
        <v>16</v>
      </c>
      <c r="D6" s="21" t="s">
        <v>243</v>
      </c>
      <c r="E6" s="18" t="str">
        <f>CHOOSE(WEEKDAY(Fixed_weekdays[[#This Row],[DateInYear]],2),"Mon","Tue","Wed","Thu","Fri","Sat","Sun")</f>
        <v>Mon</v>
      </c>
      <c r="F6" s="23">
        <f>DATEVALUE(Fixed_weekdays[[#This Row],[Year]]&amp;"-"&amp;Fixed_weekdays[[#This Row],[Month]]&amp;"-"&amp;Fixed_weekdays[[#This Row],[Day]])</f>
        <v>44291</v>
      </c>
      <c r="G6" s="18">
        <f>AloxÅr</f>
        <v>2021</v>
      </c>
      <c r="H6" s="18">
        <f>+VLOOKUP(LEFT(Fixed_weekdays[[#This Row],[Date]],3),$M$4:$N$15,2,0)</f>
        <v>4</v>
      </c>
      <c r="I6" s="18" t="str">
        <f>IF(LEN(Fixed_weekdays[[#This Row],[Date]])=6,RIGHT(Fixed_weekdays[[#This Row],[Date]],2),RIGHT(Fixed_weekdays[[#This Row],[Date]],1))</f>
        <v>5</v>
      </c>
      <c r="J6" s="17"/>
      <c r="K6" s="17"/>
      <c r="L6" s="17"/>
      <c r="M6" s="17" t="s">
        <v>41</v>
      </c>
      <c r="N6" s="17">
        <f>+N5+1</f>
        <v>3</v>
      </c>
      <c r="O6" s="17"/>
      <c r="P6" s="17"/>
    </row>
    <row r="7" spans="1:44">
      <c r="B7" s="150">
        <v>8</v>
      </c>
      <c r="C7" t="s">
        <v>20</v>
      </c>
      <c r="D7" s="22" t="s">
        <v>244</v>
      </c>
      <c r="E7" s="18" t="str">
        <f>CHOOSE(WEEKDAY(Fixed_weekdays[[#This Row],[DateInYear]],2),"Mon","Tue","Wed","Thu","Fri","Sat","Sun")</f>
        <v>Thu</v>
      </c>
      <c r="F7" s="23">
        <f>DATEVALUE(Fixed_weekdays[[#This Row],[Year]]&amp;"-"&amp;Fixed_weekdays[[#This Row],[Month]]&amp;"-"&amp;Fixed_weekdays[[#This Row],[Day]])</f>
        <v>44329</v>
      </c>
      <c r="G7" s="18">
        <f>AloxÅr</f>
        <v>2021</v>
      </c>
      <c r="H7" s="18">
        <f>+VLOOKUP(LEFT(Fixed_weekdays[[#This Row],[Date]],3),$M$4:$N$15,2,0)</f>
        <v>5</v>
      </c>
      <c r="I7" s="18" t="str">
        <f>IF(LEN(Fixed_weekdays[[#This Row],[Date]])=6,RIGHT(Fixed_weekdays[[#This Row],[Date]],2),RIGHT(Fixed_weekdays[[#This Row],[Date]],1))</f>
        <v>13</v>
      </c>
      <c r="J7" s="17"/>
      <c r="K7" s="17"/>
      <c r="L7" s="17"/>
      <c r="M7" s="17" t="s">
        <v>42</v>
      </c>
      <c r="N7" s="17">
        <f t="shared" ref="N7:N15" si="0">+N6+1</f>
        <v>4</v>
      </c>
      <c r="O7" s="17"/>
      <c r="P7" s="17"/>
    </row>
    <row r="8" spans="1:44">
      <c r="B8" s="150">
        <v>8</v>
      </c>
      <c r="C8" t="s">
        <v>251</v>
      </c>
      <c r="D8" s="30" t="s">
        <v>245</v>
      </c>
      <c r="E8" s="18" t="str">
        <f>CHOOSE(WEEKDAY(Fixed_weekdays[[#This Row],[DateInYear]],2),"Mon","Tue","Wed","Thu","Fri","Sat","Sun")</f>
        <v>Fri</v>
      </c>
      <c r="F8" s="19">
        <f>DATEVALUE(Fixed_weekdays[[#This Row],[Year]]&amp;"-"&amp;Fixed_weekdays[[#This Row],[Month]]&amp;"-"&amp;Fixed_weekdays[[#This Row],[Day]])</f>
        <v>44372</v>
      </c>
      <c r="G8" s="20">
        <f>AloxÅr</f>
        <v>2021</v>
      </c>
      <c r="H8" s="20">
        <f>+VLOOKUP(LEFT(Fixed_weekdays[[#This Row],[Date]],3),$M$4:$N$15,2,0)</f>
        <v>6</v>
      </c>
      <c r="I8" s="18" t="str">
        <f>IF(LEN(Fixed_weekdays[[#This Row],[Date]])=6,RIGHT(Fixed_weekdays[[#This Row],[Date]],2),RIGHT(Fixed_weekdays[[#This Row],[Date]],1))</f>
        <v>25</v>
      </c>
      <c r="J8" s="17"/>
      <c r="K8" s="17"/>
      <c r="L8" s="17"/>
      <c r="M8" s="17" t="s">
        <v>43</v>
      </c>
      <c r="N8" s="17">
        <f t="shared" si="0"/>
        <v>5</v>
      </c>
      <c r="O8" s="17"/>
      <c r="P8" s="17"/>
    </row>
    <row r="9" spans="1:44">
      <c r="D9" s="220"/>
      <c r="E9" s="220"/>
      <c r="M9" s="222" t="s">
        <v>44</v>
      </c>
      <c r="N9" s="222">
        <f t="shared" si="0"/>
        <v>6</v>
      </c>
    </row>
    <row r="10" spans="1:44">
      <c r="B10" s="223" t="s">
        <v>38</v>
      </c>
      <c r="D10" s="220"/>
      <c r="E10" s="220"/>
      <c r="M10" s="222" t="s">
        <v>45</v>
      </c>
      <c r="N10" s="222">
        <f t="shared" si="0"/>
        <v>7</v>
      </c>
    </row>
    <row r="11" spans="1:44" ht="15" thickBot="1">
      <c r="B11" s="24" t="s">
        <v>214</v>
      </c>
      <c r="C11" s="24" t="s">
        <v>51</v>
      </c>
      <c r="D11" s="24" t="s">
        <v>1</v>
      </c>
      <c r="E11" s="24" t="s">
        <v>52</v>
      </c>
      <c r="F11" s="24" t="s">
        <v>53</v>
      </c>
      <c r="G11" s="24" t="s">
        <v>54</v>
      </c>
      <c r="H11" s="24" t="s">
        <v>11</v>
      </c>
      <c r="I11" s="10" t="s">
        <v>55</v>
      </c>
      <c r="J11" s="17"/>
      <c r="K11" s="17"/>
      <c r="L11" s="17"/>
      <c r="M11" s="17" t="s">
        <v>46</v>
      </c>
      <c r="N11" s="17">
        <f t="shared" si="0"/>
        <v>8</v>
      </c>
      <c r="O11" s="17"/>
      <c r="P11" s="17"/>
    </row>
    <row r="12" spans="1:44" ht="15" thickTop="1">
      <c r="B12" s="150">
        <v>8</v>
      </c>
      <c r="C12" t="s">
        <v>26</v>
      </c>
      <c r="D12" s="15" t="s">
        <v>28</v>
      </c>
      <c r="E12" s="18" t="str">
        <f>CHOOSE(WEEKDAY(Fixed_dates[[#This Row],[DateInYear]],2),"Mon","Tue","Wed","Thu","Fri","Sat","Sun")</f>
        <v>Fri</v>
      </c>
      <c r="F12" s="19">
        <f>DATEVALUE(Fixed_dates[[#This Row],[Year]]&amp;"-"&amp;Fixed_dates[[#This Row],[Month]]&amp;"-"&amp;Fixed_dates[[#This Row],[Day]])</f>
        <v>44197</v>
      </c>
      <c r="G12" s="20">
        <f t="shared" ref="G12:G19" si="1">AloxÅr</f>
        <v>2021</v>
      </c>
      <c r="H12" s="20">
        <f>+VLOOKUP(LEFT(Fixed_dates[[#This Row],[Date]],3),$M$4:$N$15,2,0)</f>
        <v>1</v>
      </c>
      <c r="I12" s="18" t="str">
        <f>IF(LEN(Fixed_dates[[#This Row],[Date]])=6,RIGHT(Fixed_dates[[#This Row],[Date]],2),RIGHT(Fixed_dates[[#This Row],[Date]],1))</f>
        <v>1</v>
      </c>
      <c r="J12" s="17"/>
      <c r="K12" s="17"/>
      <c r="L12" s="17"/>
      <c r="M12" s="17" t="s">
        <v>47</v>
      </c>
      <c r="N12" s="17">
        <f t="shared" si="0"/>
        <v>9</v>
      </c>
      <c r="O12" s="17"/>
      <c r="P12" s="17"/>
    </row>
    <row r="13" spans="1:44">
      <c r="B13" s="150">
        <v>8</v>
      </c>
      <c r="C13" t="s">
        <v>19</v>
      </c>
      <c r="D13" s="15" t="s">
        <v>29</v>
      </c>
      <c r="E13" s="18" t="str">
        <f>CHOOSE(WEEKDAY(Fixed_dates[[#This Row],[DateInYear]],2),"Mon","Tue","Wed","Thu","Fri","Sat","Sun")</f>
        <v>Wed</v>
      </c>
      <c r="F13" s="19">
        <f>DATEVALUE(Fixed_dates[[#This Row],[Year]]&amp;"-"&amp;Fixed_dates[[#This Row],[Month]]&amp;"-"&amp;Fixed_dates[[#This Row],[Day]])</f>
        <v>44202</v>
      </c>
      <c r="G13" s="20">
        <f t="shared" si="1"/>
        <v>2021</v>
      </c>
      <c r="H13" s="20">
        <f>+VLOOKUP(LEFT(Fixed_dates[[#This Row],[Date]],3),$M$4:$N$15,2,0)</f>
        <v>1</v>
      </c>
      <c r="I13" s="18" t="str">
        <f>IF(LEN(Fixed_dates[[#This Row],[Date]])=6,RIGHT(Fixed_dates[[#This Row],[Date]],2),RIGHT(Fixed_dates[[#This Row],[Date]],1))</f>
        <v>6</v>
      </c>
      <c r="J13" s="17"/>
      <c r="K13" s="17"/>
      <c r="L13" s="17"/>
      <c r="M13" s="17" t="s">
        <v>48</v>
      </c>
      <c r="N13" s="17">
        <f t="shared" si="0"/>
        <v>10</v>
      </c>
      <c r="O13" s="17"/>
      <c r="P13" s="17"/>
    </row>
    <row r="14" spans="1:44">
      <c r="B14" s="150">
        <v>0</v>
      </c>
      <c r="C14" t="s">
        <v>252</v>
      </c>
      <c r="D14" s="14" t="s">
        <v>31</v>
      </c>
      <c r="E14" s="18" t="str">
        <f>CHOOSE(WEEKDAY(Fixed_dates[[#This Row],[DateInYear]],2),"Mon","Tue","Wed","Thu","Fri","Sat","Sun")</f>
        <v>Sat</v>
      </c>
      <c r="F14" s="19">
        <f>DATEVALUE(Fixed_dates[[#This Row],[Year]]&amp;"-"&amp;Fixed_dates[[#This Row],[Month]]&amp;"-"&amp;Fixed_dates[[#This Row],[Day]])</f>
        <v>44317</v>
      </c>
      <c r="G14" s="20">
        <f t="shared" si="1"/>
        <v>2021</v>
      </c>
      <c r="H14" s="20">
        <f>+VLOOKUP(LEFT(Fixed_dates[[#This Row],[Date]],3),$M$4:$N$15,2,0)</f>
        <v>5</v>
      </c>
      <c r="I14" s="18" t="str">
        <f>IF(LEN(Fixed_dates[[#This Row],[Date]])=6,RIGHT(Fixed_dates[[#This Row],[Date]],2),RIGHT(Fixed_dates[[#This Row],[Date]],1))</f>
        <v>1</v>
      </c>
      <c r="J14" s="17"/>
      <c r="K14" s="17"/>
      <c r="L14" s="17"/>
      <c r="M14" s="17" t="s">
        <v>49</v>
      </c>
      <c r="N14" s="17">
        <f t="shared" si="0"/>
        <v>11</v>
      </c>
      <c r="O14" s="17"/>
      <c r="P14" s="17"/>
    </row>
    <row r="15" spans="1:44">
      <c r="B15" s="150">
        <v>0</v>
      </c>
      <c r="C15" t="s">
        <v>232</v>
      </c>
      <c r="D15" s="14" t="s">
        <v>30</v>
      </c>
      <c r="E15" s="18" t="str">
        <f>CHOOSE(WEEKDAY(Fixed_dates[[#This Row],[DateInYear]],2),"Mon","Tue","Wed","Thu","Fri","Sat","Sun")</f>
        <v>Sun</v>
      </c>
      <c r="F15" s="19">
        <f>DATEVALUE(Fixed_dates[[#This Row],[Year]]&amp;"-"&amp;Fixed_dates[[#This Row],[Month]]&amp;"-"&amp;Fixed_dates[[#This Row],[Day]])</f>
        <v>44353</v>
      </c>
      <c r="G15" s="20">
        <f t="shared" si="1"/>
        <v>2021</v>
      </c>
      <c r="H15" s="20">
        <f>+VLOOKUP(LEFT(Fixed_dates[[#This Row],[Date]],3),$M$4:$N$15,2,0)</f>
        <v>6</v>
      </c>
      <c r="I15" s="18" t="str">
        <f>IF(LEN(Fixed_dates[[#This Row],[Date]])=6,RIGHT(Fixed_dates[[#This Row],[Date]],2),RIGHT(Fixed_dates[[#This Row],[Date]],1))</f>
        <v>6</v>
      </c>
      <c r="J15" s="17"/>
      <c r="K15" s="17"/>
      <c r="L15" s="17"/>
      <c r="M15" s="17" t="s">
        <v>50</v>
      </c>
      <c r="N15" s="17">
        <f t="shared" si="0"/>
        <v>12</v>
      </c>
      <c r="O15" s="17"/>
      <c r="P15" s="17"/>
    </row>
    <row r="16" spans="1:44">
      <c r="B16" s="150">
        <v>8</v>
      </c>
      <c r="C16" t="s">
        <v>21</v>
      </c>
      <c r="D16" s="14" t="s">
        <v>32</v>
      </c>
      <c r="E16" s="18" t="str">
        <f>CHOOSE(WEEKDAY(Fixed_dates[[#This Row],[DateInYear]],2),"Mon","Tue","Wed","Thu","Fri","Sat","Sun")</f>
        <v>Fri</v>
      </c>
      <c r="F16" s="19">
        <f>DATEVALUE(Fixed_dates[[#This Row],[Year]]&amp;"-"&amp;Fixed_dates[[#This Row],[Month]]&amp;"-"&amp;Fixed_dates[[#This Row],[Day]])</f>
        <v>44554</v>
      </c>
      <c r="G16" s="20">
        <f t="shared" si="1"/>
        <v>2021</v>
      </c>
      <c r="H16" s="20">
        <f>+VLOOKUP(LEFT(Fixed_dates[[#This Row],[Date]],3),$M$4:$N$15,2,0)</f>
        <v>12</v>
      </c>
      <c r="I16" s="18" t="str">
        <f>IF(LEN(Fixed_dates[[#This Row],[Date]])=6,RIGHT(Fixed_dates[[#This Row],[Date]],2),RIGHT(Fixed_dates[[#This Row],[Date]],1))</f>
        <v>24</v>
      </c>
      <c r="J16" s="17"/>
      <c r="K16" s="17"/>
      <c r="L16" s="17"/>
      <c r="M16" s="17"/>
      <c r="N16" s="17"/>
      <c r="O16" s="17"/>
      <c r="P16" s="17"/>
    </row>
    <row r="17" spans="1:16">
      <c r="B17" s="150">
        <v>0</v>
      </c>
      <c r="C17" t="s">
        <v>22</v>
      </c>
      <c r="D17" s="14" t="s">
        <v>33</v>
      </c>
      <c r="E17" s="18" t="str">
        <f>CHOOSE(WEEKDAY(Fixed_dates[[#This Row],[DateInYear]],2),"Mon","Tue","Wed","Thu","Fri","Sat","Sun")</f>
        <v>Sat</v>
      </c>
      <c r="F17" s="19">
        <f>DATEVALUE(Fixed_dates[[#This Row],[Year]]&amp;"-"&amp;Fixed_dates[[#This Row],[Month]]&amp;"-"&amp;Fixed_dates[[#This Row],[Day]])</f>
        <v>44555</v>
      </c>
      <c r="G17" s="20">
        <f t="shared" si="1"/>
        <v>2021</v>
      </c>
      <c r="H17" s="20">
        <f>+VLOOKUP(LEFT(Fixed_dates[[#This Row],[Date]],3),$M$4:$N$15,2,0)</f>
        <v>12</v>
      </c>
      <c r="I17" s="18" t="str">
        <f>IF(LEN(Fixed_dates[[#This Row],[Date]])=6,RIGHT(Fixed_dates[[#This Row],[Date]],2),RIGHT(Fixed_dates[[#This Row],[Date]],1))</f>
        <v>25</v>
      </c>
      <c r="J17" s="17"/>
      <c r="K17" s="17"/>
      <c r="L17" s="17"/>
      <c r="M17" s="17"/>
      <c r="N17" s="17"/>
      <c r="O17" s="17"/>
      <c r="P17" s="17"/>
    </row>
    <row r="18" spans="1:16">
      <c r="B18" s="150">
        <v>0</v>
      </c>
      <c r="C18" t="s">
        <v>23</v>
      </c>
      <c r="D18" s="14" t="s">
        <v>34</v>
      </c>
      <c r="E18" s="18" t="str">
        <f>CHOOSE(WEEKDAY(Fixed_dates[[#This Row],[DateInYear]],2),"Mon","Tue","Wed","Thu","Fri","Sat","Sun")</f>
        <v>Sun</v>
      </c>
      <c r="F18" s="19">
        <f>DATEVALUE(Fixed_dates[[#This Row],[Year]]&amp;"-"&amp;Fixed_dates[[#This Row],[Month]]&amp;"-"&amp;Fixed_dates[[#This Row],[Day]])</f>
        <v>44556</v>
      </c>
      <c r="G18" s="20">
        <f t="shared" si="1"/>
        <v>2021</v>
      </c>
      <c r="H18" s="20">
        <f>+VLOOKUP(LEFT(Fixed_dates[[#This Row],[Date]],3),$M$4:$N$15,2,0)</f>
        <v>12</v>
      </c>
      <c r="I18" s="18" t="str">
        <f>IF(LEN(Fixed_dates[[#This Row],[Date]])=6,RIGHT(Fixed_dates[[#This Row],[Date]],2),RIGHT(Fixed_dates[[#This Row],[Date]],1))</f>
        <v>26</v>
      </c>
      <c r="J18" s="17"/>
      <c r="K18" s="17"/>
      <c r="L18" s="17"/>
      <c r="M18" s="17"/>
      <c r="N18" s="17"/>
      <c r="O18" s="17"/>
      <c r="P18" s="17"/>
    </row>
    <row r="19" spans="1:16">
      <c r="B19" s="150">
        <v>8</v>
      </c>
      <c r="C19" t="s">
        <v>24</v>
      </c>
      <c r="D19" s="14" t="s">
        <v>35</v>
      </c>
      <c r="E19" s="18" t="str">
        <f>CHOOSE(WEEKDAY(Fixed_dates[[#This Row],[DateInYear]],2),"Mon","Tue","Wed","Thu","Fri","Sat","Sun")</f>
        <v>Fri</v>
      </c>
      <c r="F19" s="19">
        <f>DATEVALUE(Fixed_dates[[#This Row],[Year]]&amp;"-"&amp;Fixed_dates[[#This Row],[Month]]&amp;"-"&amp;Fixed_dates[[#This Row],[Day]])</f>
        <v>44561</v>
      </c>
      <c r="G19" s="20">
        <f t="shared" si="1"/>
        <v>2021</v>
      </c>
      <c r="H19" s="20">
        <f>+VLOOKUP(LEFT(Fixed_dates[[#This Row],[Date]],3),$M$4:$N$15,2,0)</f>
        <v>12</v>
      </c>
      <c r="I19" s="18" t="str">
        <f>IF(LEN(Fixed_dates[[#This Row],[Date]])=6,RIGHT(Fixed_dates[[#This Row],[Date]],2),RIGHT(Fixed_dates[[#This Row],[Date]],1))</f>
        <v>31</v>
      </c>
      <c r="J19" s="17"/>
      <c r="K19" s="25"/>
      <c r="L19" s="17"/>
      <c r="M19" s="17"/>
      <c r="N19" s="17"/>
      <c r="O19" s="17"/>
      <c r="P19" s="17"/>
    </row>
    <row r="20" spans="1:16">
      <c r="D20" s="220"/>
      <c r="E20" s="220"/>
    </row>
    <row r="21" spans="1:16">
      <c r="B21" s="223" t="s">
        <v>253</v>
      </c>
      <c r="D21" s="220"/>
      <c r="E21" s="220"/>
    </row>
    <row r="22" spans="1:16" ht="15" thickBot="1">
      <c r="B22" s="24" t="s">
        <v>214</v>
      </c>
      <c r="C22" s="24" t="s">
        <v>51</v>
      </c>
      <c r="D22" s="24" t="s">
        <v>1</v>
      </c>
      <c r="E22" s="24" t="s">
        <v>52</v>
      </c>
      <c r="F22" s="24" t="s">
        <v>53</v>
      </c>
      <c r="G22" s="24" t="s">
        <v>54</v>
      </c>
      <c r="H22" s="24" t="s">
        <v>11</v>
      </c>
      <c r="I22" s="10" t="s">
        <v>55</v>
      </c>
      <c r="J22" s="17"/>
      <c r="K22" s="17"/>
      <c r="L22" s="17"/>
      <c r="M22" s="17"/>
      <c r="N22" s="17"/>
      <c r="O22" s="17"/>
      <c r="P22" s="17"/>
    </row>
    <row r="23" spans="1:16" ht="15" thickTop="1">
      <c r="A23" s="224"/>
      <c r="B23" s="26">
        <v>4</v>
      </c>
      <c r="C23" t="s">
        <v>25</v>
      </c>
      <c r="D23" s="13" t="s">
        <v>36</v>
      </c>
      <c r="E23" s="18" t="str">
        <f>CHOOSE(WEEKDAY(Shortened[[#This Row],[DateInYear]],2),"Mon","Tue","Wed","Thu","Fri","Sat","Sun")</f>
        <v>Tue</v>
      </c>
      <c r="F23" s="19">
        <f>DATEVALUE(Shortened[[#This Row],[Year]]&amp;"-"&amp;Shortened[[#This Row],[Month]]&amp;"-"&amp;Shortened[[#This Row],[Day]])</f>
        <v>44201</v>
      </c>
      <c r="G23" s="20">
        <f>AloxÅr</f>
        <v>2021</v>
      </c>
      <c r="H23" s="20">
        <f>+VLOOKUP(LEFT(Shortened[[#This Row],[Date]],3),$M$4:$N$15,2,0)</f>
        <v>1</v>
      </c>
      <c r="I23" s="18" t="str">
        <f>IF(LEN(Shortened[[#This Row],[Date]])=6,RIGHT(Shortened[[#This Row],[Date]],2),RIGHT(Shortened[[#This Row],[Date]],1))</f>
        <v>5</v>
      </c>
      <c r="J23" s="17"/>
      <c r="K23" s="17"/>
      <c r="L23" s="17"/>
      <c r="M23" s="17"/>
      <c r="N23" s="17"/>
      <c r="O23" s="17"/>
      <c r="P23" s="17"/>
    </row>
    <row r="24" spans="1:16">
      <c r="A24" s="224"/>
      <c r="B24" s="29">
        <v>2</v>
      </c>
      <c r="C24" t="s">
        <v>17</v>
      </c>
      <c r="D24" s="13" t="s">
        <v>246</v>
      </c>
      <c r="E24" s="18" t="str">
        <f>CHOOSE(WEEKDAY(Shortened[[#This Row],[DateInYear]],2),"Mon","Tue","Wed","Thu","Fri","Sat","Sun")</f>
        <v>Thu</v>
      </c>
      <c r="F24" s="19">
        <f>DATEVALUE(Shortened[[#This Row],[Year]]&amp;"-"&amp;Shortened[[#This Row],[Month]]&amp;"-"&amp;Shortened[[#This Row],[Day]])</f>
        <v>44287</v>
      </c>
      <c r="G24" s="20">
        <f>AloxÅr</f>
        <v>2021</v>
      </c>
      <c r="H24" s="20">
        <f>+VLOOKUP(LEFT(Shortened[[#This Row],[Date]],3),$M$4:$N$15,2,0)</f>
        <v>4</v>
      </c>
      <c r="I24" s="18" t="str">
        <f>IF(LEN(Shortened[[#This Row],[Date]])=6,RIGHT(Shortened[[#This Row],[Date]],2),RIGHT(Shortened[[#This Row],[Date]],1))</f>
        <v>1</v>
      </c>
      <c r="J24" s="17"/>
      <c r="K24" s="17"/>
      <c r="L24" s="17"/>
      <c r="M24" s="17"/>
      <c r="N24" s="17"/>
      <c r="O24" s="17"/>
      <c r="P24" s="17"/>
    </row>
    <row r="25" spans="1:16">
      <c r="A25" s="224"/>
      <c r="B25" s="27">
        <v>4</v>
      </c>
      <c r="C25" t="s">
        <v>222</v>
      </c>
      <c r="D25" s="16" t="s">
        <v>223</v>
      </c>
      <c r="E25" s="18" t="str">
        <f>CHOOSE(WEEKDAY(Shortened[[#This Row],[DateInYear]],2),"Mon","Tue","Wed","Thu","Fri","Sat","Sun")</f>
        <v>Fri</v>
      </c>
      <c r="F25" s="19">
        <f>DATEVALUE(Shortened[[#This Row],[Year]]&amp;"-"&amp;Shortened[[#This Row],[Month]]&amp;"-"&amp;Shortened[[#This Row],[Day]])</f>
        <v>44316</v>
      </c>
      <c r="G25" s="20">
        <f>AloxÅr</f>
        <v>2021</v>
      </c>
      <c r="H25" s="20">
        <f>+VLOOKUP(LEFT(Shortened[[#This Row],[Date]],3),$M$4:$N$15,2,0)</f>
        <v>4</v>
      </c>
      <c r="I25" s="18" t="str">
        <f>IF(LEN(Shortened[[#This Row],[Date]])=6,RIGHT(Shortened[[#This Row],[Date]],2),RIGHT(Shortened[[#This Row],[Date]],1))</f>
        <v>30</v>
      </c>
      <c r="J25" s="17"/>
      <c r="K25" s="17"/>
      <c r="L25" s="17"/>
      <c r="M25" s="17"/>
      <c r="N25" s="17"/>
      <c r="O25" s="17"/>
      <c r="P25" s="17"/>
    </row>
    <row r="26" spans="1:16">
      <c r="B26" s="27">
        <v>8</v>
      </c>
      <c r="C26" t="s">
        <v>229</v>
      </c>
      <c r="D26" s="13" t="s">
        <v>247</v>
      </c>
      <c r="E26" s="38" t="str">
        <f>CHOOSE(WEEKDAY(Shortened[[#This Row],[DateInYear]],2),"Mon","Tue","Wed","Thu","Fri","Sat","Sun")</f>
        <v>Fri</v>
      </c>
      <c r="F26" s="19">
        <f>DATEVALUE(Shortened[[#This Row],[Year]]&amp;"-"&amp;Shortened[[#This Row],[Month]]&amp;"-"&amp;Shortened[[#This Row],[Day]])</f>
        <v>44505</v>
      </c>
      <c r="G26" s="39">
        <f>AloxÅr</f>
        <v>2021</v>
      </c>
      <c r="H26" s="39">
        <f>+VLOOKUP(LEFT(Shortened[[#This Row],[Date]],3),$M$4:$N$15,2,0)</f>
        <v>11</v>
      </c>
      <c r="I26" s="38" t="str">
        <f>IF(LEN(Shortened[[#This Row],[Date]])=6,RIGHT(Shortened[[#This Row],[Date]],2),RIGHT(Shortened[[#This Row],[Date]],1))</f>
        <v>5</v>
      </c>
      <c r="J26" s="17"/>
      <c r="K26" s="17"/>
      <c r="L26" s="17"/>
      <c r="M26" s="17"/>
      <c r="N26" s="17"/>
      <c r="O26" s="17"/>
      <c r="P26" s="17"/>
    </row>
    <row r="27" spans="1:16" hidden="1">
      <c r="B27" s="27">
        <v>0</v>
      </c>
      <c r="C27" s="215" t="s">
        <v>27</v>
      </c>
      <c r="D27" s="216" t="s">
        <v>37</v>
      </c>
      <c r="E27" s="217" t="str">
        <f>CHOOSE(WEEKDAY(Shortened[[#This Row],[DateInYear]],2),"Mon","Tue","Wed","Thu","Fri","Sat","Sun")</f>
        <v>Thu</v>
      </c>
      <c r="F27" s="218">
        <f>DATEVALUE(Shortened[[#This Row],[Year]]&amp;"-"&amp;Shortened[[#This Row],[Month]]&amp;"-"&amp;Shortened[[#This Row],[Day]])</f>
        <v>44553</v>
      </c>
      <c r="G27" s="219">
        <f>AloxÅr</f>
        <v>2021</v>
      </c>
      <c r="H27" s="219">
        <f>+VLOOKUP(LEFT(Shortened[[#This Row],[Date]],3),$M$4:$N$15,2,0)</f>
        <v>12</v>
      </c>
      <c r="I27" s="217" t="str">
        <f>IF(LEN(Shortened[[#This Row],[Date]])=6,RIGHT(Shortened[[#This Row],[Date]],2),RIGHT(Shortened[[#This Row],[Date]],1))</f>
        <v>23</v>
      </c>
      <c r="J27" s="17"/>
      <c r="K27" s="17"/>
      <c r="L27" s="17"/>
      <c r="M27" s="17"/>
      <c r="N27" s="17"/>
      <c r="O27" s="17"/>
      <c r="P27" s="17"/>
    </row>
    <row r="28" spans="1:16">
      <c r="D28" s="220"/>
      <c r="E28" s="220"/>
    </row>
    <row r="29" spans="1:16">
      <c r="B29" s="223" t="s">
        <v>233</v>
      </c>
    </row>
    <row r="30" spans="1:16" ht="15" thickBot="1">
      <c r="A30" s="225"/>
      <c r="B30" s="28" t="s">
        <v>214</v>
      </c>
      <c r="C30" s="24" t="s">
        <v>51</v>
      </c>
      <c r="D30" s="24" t="s">
        <v>1</v>
      </c>
      <c r="E30" s="24" t="s">
        <v>52</v>
      </c>
      <c r="F30" s="24" t="s">
        <v>53</v>
      </c>
      <c r="G30" s="24" t="s">
        <v>54</v>
      </c>
      <c r="H30" s="24" t="s">
        <v>11</v>
      </c>
      <c r="I30" s="10" t="s">
        <v>55</v>
      </c>
      <c r="J30" s="17"/>
      <c r="K30" s="17"/>
      <c r="L30" s="17"/>
      <c r="M30" s="17"/>
      <c r="N30" s="17"/>
      <c r="O30" s="17"/>
      <c r="P30" s="17"/>
    </row>
    <row r="31" spans="1:16" ht="15" thickTop="1">
      <c r="B31" s="29">
        <v>8</v>
      </c>
      <c r="C31" s="4" t="s">
        <v>217</v>
      </c>
      <c r="D31" s="16" t="s">
        <v>248</v>
      </c>
      <c r="E31" s="18" t="str">
        <f>CHOOSE(WEEKDAY(Clamp[[#This Row],[DateInYear]],2),"Mon","Tue","Wed","Thu","Fri","Sat","Sun")</f>
        <v>Fri</v>
      </c>
      <c r="F31" s="19">
        <f>DATEVALUE(Clamp[[#This Row],[Year]]&amp;"-"&amp;Clamp[[#This Row],[Month]]&amp;"-"&amp;Clamp[[#This Row],[Day]])</f>
        <v>44330</v>
      </c>
      <c r="G31" s="20">
        <f>AloxÅr</f>
        <v>2021</v>
      </c>
      <c r="H31" s="20">
        <f>+VLOOKUP(LEFT(Clamp[[#This Row],[Date]],3),$M$4:$N$15,2,0)</f>
        <v>5</v>
      </c>
      <c r="I31" s="18" t="str">
        <f>IF(LEN(Clamp[[#This Row],[Date]])=6,RIGHT(Clamp[[#This Row],[Date]],2),RIGHT(Clamp[[#This Row],[Date]],1))</f>
        <v>14</v>
      </c>
      <c r="J31" s="17"/>
      <c r="K31" s="17"/>
      <c r="L31" s="17"/>
      <c r="M31" s="17"/>
      <c r="N31" s="17"/>
      <c r="O31" s="17"/>
      <c r="P31" s="17"/>
    </row>
    <row r="32" spans="1:16" hidden="1">
      <c r="B32" s="40">
        <v>0</v>
      </c>
      <c r="C32" s="4" t="s">
        <v>250</v>
      </c>
      <c r="D32" s="16" t="s">
        <v>249</v>
      </c>
      <c r="E32" s="38" t="str">
        <f>CHOOSE(WEEKDAY(Clamp[[#This Row],[DateInYear]],2),"Mon","Tue","Wed","Thu","Fri","Sat","Sun")</f>
        <v>Sat</v>
      </c>
      <c r="F32" s="19">
        <f>DATEVALUE(Clamp[[#This Row],[Year]]&amp;"-"&amp;Clamp[[#This Row],[Month]]&amp;"-"&amp;Clamp[[#This Row],[Day]])</f>
        <v>44352</v>
      </c>
      <c r="G32" s="39">
        <f>AloxÅr</f>
        <v>2021</v>
      </c>
      <c r="H32" s="39">
        <f>+VLOOKUP(LEFT(Clamp[[#This Row],[Date]],3),$M$4:$N$15,2,0)</f>
        <v>6</v>
      </c>
      <c r="I32" s="38" t="str">
        <f>IF(LEN(Clamp[[#This Row],[Date]])=6,RIGHT(Clamp[[#This Row],[Date]],2),RIGHT(Clamp[[#This Row],[Date]],1))</f>
        <v>5</v>
      </c>
      <c r="J32" s="17"/>
      <c r="K32" s="17"/>
      <c r="L32" s="17"/>
      <c r="M32" s="17"/>
      <c r="N32" s="17"/>
      <c r="O32" s="17"/>
      <c r="P32" s="17"/>
    </row>
    <row r="33" spans="2:16" hidden="1">
      <c r="B33" s="40">
        <v>0</v>
      </c>
      <c r="C33" s="17" t="s">
        <v>218</v>
      </c>
      <c r="D33" s="16" t="s">
        <v>219</v>
      </c>
      <c r="E33" s="38" t="str">
        <f>CHOOSE(WEEKDAY(Clamp[[#This Row],[DateInYear]],2),"Mon","Tue","Wed","Thu","Fri","Sat","Sun")</f>
        <v>Mon</v>
      </c>
      <c r="F33" s="19">
        <f>DATEVALUE(Clamp[[#This Row],[Year]]&amp;"-"&amp;Clamp[[#This Row],[Month]]&amp;"-"&amp;Clamp[[#This Row],[Day]])</f>
        <v>44557</v>
      </c>
      <c r="G33" s="39">
        <f>AloxÅr</f>
        <v>2021</v>
      </c>
      <c r="H33" s="39">
        <f>+VLOOKUP(LEFT(Clamp[[#This Row],[Date]],3),$M$4:$N$15,2,0)</f>
        <v>12</v>
      </c>
      <c r="I33" s="38" t="str">
        <f>IF(LEN(Clamp[[#This Row],[Date]])=6,RIGHT(Clamp[[#This Row],[Date]],2),RIGHT(Clamp[[#This Row],[Date]],1))</f>
        <v>27</v>
      </c>
      <c r="J33" s="17"/>
      <c r="K33" s="17"/>
      <c r="L33" s="17"/>
      <c r="M33" s="17"/>
      <c r="N33" s="17"/>
      <c r="O33" s="17"/>
      <c r="P33" s="17"/>
    </row>
    <row r="34" spans="2:16" hidden="1">
      <c r="B34" s="40">
        <v>0</v>
      </c>
      <c r="C34" s="17" t="s">
        <v>220</v>
      </c>
      <c r="D34" s="16" t="s">
        <v>221</v>
      </c>
      <c r="E34" s="38" t="str">
        <f>CHOOSE(WEEKDAY(Clamp[[#This Row],[DateInYear]],2),"Mon","Tue","Wed","Thu","Fri","Sat","Sun")</f>
        <v>Thu</v>
      </c>
      <c r="F34" s="19">
        <f>DATEVALUE(Clamp[[#This Row],[Year]]&amp;"-"&amp;Clamp[[#This Row],[Month]]&amp;"-"&amp;Clamp[[#This Row],[Day]])</f>
        <v>44560</v>
      </c>
      <c r="G34" s="39">
        <f>AloxÅr</f>
        <v>2021</v>
      </c>
      <c r="H34" s="39">
        <f>+VLOOKUP(LEFT(Clamp[[#This Row],[Date]],3),$M$4:$N$15,2,0)</f>
        <v>12</v>
      </c>
      <c r="I34" s="38" t="str">
        <f>IF(LEN(Clamp[[#This Row],[Date]])=6,RIGHT(Clamp[[#This Row],[Date]],2),RIGHT(Clamp[[#This Row],[Date]],1))</f>
        <v>30</v>
      </c>
      <c r="J34" s="17"/>
      <c r="K34" s="17"/>
      <c r="L34" s="17"/>
      <c r="M34" s="17"/>
      <c r="N34" s="17"/>
      <c r="O34" s="17"/>
      <c r="P34" s="17"/>
    </row>
    <row r="37" spans="2:16">
      <c r="I37" s="222"/>
    </row>
    <row r="38" spans="2:16">
      <c r="I38" s="222"/>
    </row>
    <row r="39" spans="2:16">
      <c r="I39" s="222"/>
    </row>
    <row r="40" spans="2:16">
      <c r="I40" s="222"/>
    </row>
    <row r="41" spans="2:16">
      <c r="I41" s="222"/>
    </row>
    <row r="42" spans="2:16">
      <c r="I42" s="222"/>
    </row>
    <row r="43" spans="2:16">
      <c r="I43" s="222"/>
    </row>
    <row r="44" spans="2:16">
      <c r="I44" s="222"/>
    </row>
    <row r="45" spans="2:16">
      <c r="I45" s="222"/>
    </row>
    <row r="46" spans="2:16">
      <c r="I46" s="222"/>
    </row>
    <row r="47" spans="2:16">
      <c r="I47" s="222"/>
    </row>
    <row r="48" spans="2:16">
      <c r="I48" s="222"/>
    </row>
    <row r="49" spans="9:9">
      <c r="I49" s="222"/>
    </row>
    <row r="50" spans="9:9">
      <c r="I50" s="222"/>
    </row>
    <row r="51" spans="9:9">
      <c r="I51" s="222"/>
    </row>
    <row r="52" spans="9:9">
      <c r="I52" s="222"/>
    </row>
    <row r="53" spans="9:9">
      <c r="I53" s="222"/>
    </row>
    <row r="54" spans="9:9">
      <c r="I54" s="222"/>
    </row>
    <row r="55" spans="9:9">
      <c r="I55" s="222"/>
    </row>
    <row r="56" spans="9:9">
      <c r="I56" s="222"/>
    </row>
    <row r="57" spans="9:9">
      <c r="I57" s="222"/>
    </row>
    <row r="58" spans="9:9">
      <c r="I58" s="222"/>
    </row>
    <row r="59" spans="9:9">
      <c r="I59" s="222"/>
    </row>
    <row r="60" spans="9:9">
      <c r="I60" s="222"/>
    </row>
    <row r="61" spans="9:9">
      <c r="I61" s="222"/>
    </row>
    <row r="62" spans="9:9">
      <c r="I62" s="222"/>
    </row>
    <row r="63" spans="9:9">
      <c r="I63" s="222"/>
    </row>
    <row r="64" spans="9:9">
      <c r="I64" s="222"/>
    </row>
    <row r="65" spans="9:9">
      <c r="I65" s="222"/>
    </row>
    <row r="66" spans="9:9">
      <c r="I66" s="222"/>
    </row>
    <row r="67" spans="9:9">
      <c r="I67" s="222"/>
    </row>
    <row r="68" spans="9:9">
      <c r="I68" s="222"/>
    </row>
    <row r="69" spans="9:9">
      <c r="I69" s="222"/>
    </row>
    <row r="70" spans="9:9">
      <c r="I70" s="222"/>
    </row>
    <row r="71" spans="9:9">
      <c r="I71" s="222"/>
    </row>
    <row r="72" spans="9:9">
      <c r="I72" s="222"/>
    </row>
    <row r="73" spans="9:9">
      <c r="I73" s="222"/>
    </row>
    <row r="74" spans="9:9">
      <c r="I74" s="222"/>
    </row>
    <row r="75" spans="9:9">
      <c r="I75" s="222"/>
    </row>
    <row r="76" spans="9:9">
      <c r="I76" s="222"/>
    </row>
    <row r="77" spans="9:9">
      <c r="I77" s="222"/>
    </row>
    <row r="78" spans="9:9">
      <c r="I78" s="222"/>
    </row>
    <row r="79" spans="9:9">
      <c r="I79" s="222"/>
    </row>
    <row r="80" spans="9:9">
      <c r="I80" s="222"/>
    </row>
    <row r="81" spans="9:9">
      <c r="I81" s="222"/>
    </row>
    <row r="82" spans="9:9">
      <c r="I82" s="222"/>
    </row>
    <row r="83" spans="9:9">
      <c r="I83" s="222"/>
    </row>
    <row r="84" spans="9:9">
      <c r="I84" s="222"/>
    </row>
    <row r="85" spans="9:9">
      <c r="I85" s="222"/>
    </row>
    <row r="86" spans="9:9">
      <c r="I86" s="222"/>
    </row>
    <row r="87" spans="9:9">
      <c r="I87" s="222"/>
    </row>
    <row r="88" spans="9:9">
      <c r="I88" s="222"/>
    </row>
    <row r="89" spans="9:9">
      <c r="I89" s="222"/>
    </row>
    <row r="90" spans="9:9">
      <c r="I90" s="222"/>
    </row>
    <row r="91" spans="9:9">
      <c r="I91" s="222"/>
    </row>
    <row r="92" spans="9:9">
      <c r="I92" s="222"/>
    </row>
    <row r="93" spans="9:9">
      <c r="I93" s="222"/>
    </row>
    <row r="94" spans="9:9">
      <c r="I94" s="222"/>
    </row>
    <row r="95" spans="9:9">
      <c r="I95" s="222"/>
    </row>
    <row r="96" spans="9:9">
      <c r="I96" s="222"/>
    </row>
    <row r="97" spans="9:9">
      <c r="I97" s="222"/>
    </row>
    <row r="98" spans="9:9">
      <c r="I98" s="222"/>
    </row>
    <row r="99" spans="9:9">
      <c r="I99" s="222"/>
    </row>
    <row r="100" spans="9:9">
      <c r="I100" s="222"/>
    </row>
    <row r="101" spans="9:9">
      <c r="I101" s="222"/>
    </row>
    <row r="102" spans="9:9">
      <c r="I102" s="222"/>
    </row>
    <row r="103" spans="9:9">
      <c r="I103" s="222"/>
    </row>
    <row r="104" spans="9:9">
      <c r="I104" s="222"/>
    </row>
    <row r="105" spans="9:9">
      <c r="I105" s="222"/>
    </row>
    <row r="106" spans="9:9">
      <c r="I106" s="222"/>
    </row>
    <row r="107" spans="9:9">
      <c r="I107" s="222"/>
    </row>
    <row r="108" spans="9:9">
      <c r="I108" s="222"/>
    </row>
    <row r="109" spans="9:9">
      <c r="I109" s="222"/>
    </row>
    <row r="110" spans="9:9">
      <c r="I110" s="222"/>
    </row>
    <row r="111" spans="9:9">
      <c r="I111" s="222"/>
    </row>
    <row r="112" spans="9:9">
      <c r="I112" s="222"/>
    </row>
    <row r="113" spans="9:9">
      <c r="I113" s="222"/>
    </row>
    <row r="114" spans="9:9">
      <c r="I114" s="222"/>
    </row>
    <row r="115" spans="9:9">
      <c r="I115" s="222"/>
    </row>
    <row r="116" spans="9:9">
      <c r="I116" s="222"/>
    </row>
    <row r="117" spans="9:9">
      <c r="I117" s="222"/>
    </row>
    <row r="118" spans="9:9">
      <c r="I118" s="222"/>
    </row>
    <row r="119" spans="9:9">
      <c r="I119" s="222"/>
    </row>
    <row r="120" spans="9:9">
      <c r="I120" s="222"/>
    </row>
    <row r="121" spans="9:9">
      <c r="I121" s="222"/>
    </row>
    <row r="122" spans="9:9">
      <c r="I122" s="222"/>
    </row>
    <row r="123" spans="9:9">
      <c r="I123" s="222"/>
    </row>
    <row r="124" spans="9:9">
      <c r="I124" s="222"/>
    </row>
    <row r="125" spans="9:9">
      <c r="I125" s="222"/>
    </row>
    <row r="126" spans="9:9">
      <c r="I126" s="222"/>
    </row>
    <row r="127" spans="9:9">
      <c r="I127" s="222"/>
    </row>
    <row r="128" spans="9:9">
      <c r="I128" s="222"/>
    </row>
    <row r="129" spans="9:9">
      <c r="I129" s="222"/>
    </row>
    <row r="130" spans="9:9">
      <c r="I130" s="222"/>
    </row>
    <row r="131" spans="9:9">
      <c r="I131" s="222"/>
    </row>
    <row r="132" spans="9:9">
      <c r="I132" s="222"/>
    </row>
    <row r="133" spans="9:9">
      <c r="I133" s="222"/>
    </row>
    <row r="134" spans="9:9">
      <c r="I134" s="222"/>
    </row>
    <row r="135" spans="9:9">
      <c r="I135" s="222"/>
    </row>
    <row r="136" spans="9:9">
      <c r="I136" s="222"/>
    </row>
    <row r="137" spans="9:9">
      <c r="I137" s="222"/>
    </row>
    <row r="138" spans="9:9">
      <c r="I138" s="222"/>
    </row>
    <row r="139" spans="9:9">
      <c r="I139" s="222"/>
    </row>
    <row r="140" spans="9:9">
      <c r="I140" s="222"/>
    </row>
    <row r="141" spans="9:9">
      <c r="I141" s="222"/>
    </row>
    <row r="142" spans="9:9">
      <c r="I142" s="222"/>
    </row>
    <row r="143" spans="9:9">
      <c r="I143" s="222"/>
    </row>
    <row r="144" spans="9:9">
      <c r="I144" s="222"/>
    </row>
    <row r="145" spans="9:9">
      <c r="I145" s="222"/>
    </row>
    <row r="146" spans="9:9">
      <c r="I146" s="222"/>
    </row>
    <row r="147" spans="9:9">
      <c r="I147" s="222"/>
    </row>
    <row r="148" spans="9:9">
      <c r="I148" s="222"/>
    </row>
    <row r="149" spans="9:9">
      <c r="I149" s="222"/>
    </row>
    <row r="150" spans="9:9">
      <c r="I150" s="222"/>
    </row>
    <row r="151" spans="9:9">
      <c r="I151" s="222"/>
    </row>
    <row r="152" spans="9:9">
      <c r="I152" s="222"/>
    </row>
    <row r="153" spans="9:9">
      <c r="I153" s="222"/>
    </row>
    <row r="154" spans="9:9">
      <c r="I154" s="222"/>
    </row>
    <row r="155" spans="9:9">
      <c r="I155" s="222"/>
    </row>
    <row r="156" spans="9:9">
      <c r="I156" s="222"/>
    </row>
    <row r="157" spans="9:9">
      <c r="I157" s="222"/>
    </row>
    <row r="158" spans="9:9">
      <c r="I158" s="222"/>
    </row>
    <row r="159" spans="9:9">
      <c r="I159" s="222"/>
    </row>
    <row r="160" spans="9:9">
      <c r="I160" s="222"/>
    </row>
    <row r="161" spans="9:9">
      <c r="I161" s="222"/>
    </row>
    <row r="162" spans="9:9">
      <c r="I162" s="222"/>
    </row>
    <row r="163" spans="9:9">
      <c r="I163" s="222"/>
    </row>
    <row r="164" spans="9:9">
      <c r="I164" s="222"/>
    </row>
    <row r="165" spans="9:9">
      <c r="I165" s="222"/>
    </row>
    <row r="166" spans="9:9">
      <c r="I166" s="222"/>
    </row>
    <row r="167" spans="9:9">
      <c r="I167" s="222"/>
    </row>
    <row r="168" spans="9:9">
      <c r="I168" s="222"/>
    </row>
    <row r="169" spans="9:9">
      <c r="I169" s="222"/>
    </row>
    <row r="170" spans="9:9">
      <c r="I170" s="222"/>
    </row>
  </sheetData>
  <sheetProtection algorithmName="SHA-512" hashValue="2GDXaTIHJpYiK5Odtf9ApyZtUOjhbSzaH1c7ORxsGRytSSiU9W1qIJVUX0RwIRBdoJ/hHqDDoX8R8dlbPLZbfQ==" saltValue="z/rkrY/UOiz+gKE9tv+VEg==" spinCount="100000" sheet="1" selectLockedCells="1" selectUnlockedCells="1"/>
  <printOptions horizontalCentered="1"/>
  <pageMargins left="0.19685039370078741" right="0.19685039370078741" top="0.78740157480314965" bottom="0.19685039370078741" header="0.31496062992125984" footer="0.31496062992125984"/>
  <pageSetup paperSize="9" orientation="portrait" r:id="rId1"/>
  <ignoredErrors>
    <ignoredError sqref="H6:I8" calculatedColumn="1"/>
  </ignoredErrors>
  <legacyDrawing r:id="rId2"/>
  <tableParts count="4">
    <tablePart r:id="rId3"/>
    <tablePart r:id="rId4"/>
    <tablePart r:id="rId5"/>
    <tablePart r:id="rId6"/>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loxAB_03">
    <tabColor rgb="FFFFFF00"/>
    <pageSetUpPr fitToPage="1"/>
  </sheetPr>
  <dimension ref="B1:AG115"/>
  <sheetViews>
    <sheetView showGridLines="0" showRowColHeaders="0" showZeros="0" zoomScale="55" zoomScaleNormal="55" zoomScaleSheetLayoutView="70" workbookViewId="0">
      <selection activeCell="D4" sqref="D4:H4"/>
    </sheetView>
  </sheetViews>
  <sheetFormatPr defaultColWidth="9.1796875" defaultRowHeight="17.25" customHeight="1"/>
  <cols>
    <col min="1" max="1" width="1.54296875" style="12" customWidth="1"/>
    <col min="2" max="2" width="14.81640625" style="121" customWidth="1"/>
    <col min="3" max="3" width="2.54296875" style="121" customWidth="1"/>
    <col min="4" max="4" width="30.81640625" style="121" customWidth="1"/>
    <col min="5" max="5" width="1.7265625" style="11" customWidth="1"/>
    <col min="6" max="6" width="12.54296875" style="11" customWidth="1"/>
    <col min="7" max="7" width="1.7265625" style="11" customWidth="1"/>
    <col min="8" max="8" width="16.81640625" style="11" customWidth="1"/>
    <col min="9" max="9" width="1.7265625" style="128" customWidth="1"/>
    <col min="10" max="10" width="18" style="11" customWidth="1"/>
    <col min="11" max="11" width="1.7265625" style="11" customWidth="1"/>
    <col min="12" max="12" width="9" style="11" bestFit="1" customWidth="1"/>
    <col min="13" max="13" width="9.26953125" style="125" customWidth="1"/>
    <col min="14" max="14" width="3.453125" style="125" customWidth="1"/>
    <col min="15" max="15" width="9.54296875" style="11" bestFit="1" customWidth="1"/>
    <col min="16" max="16" width="1.453125" style="125" customWidth="1"/>
    <col min="17" max="17" width="9.26953125" style="11" bestFit="1" customWidth="1"/>
    <col min="18" max="18" width="1.453125" style="125" customWidth="1"/>
    <col min="19" max="19" width="9.26953125" style="125" bestFit="1" customWidth="1"/>
    <col min="20" max="20" width="1.26953125" style="125" customWidth="1"/>
    <col min="21" max="21" width="9.26953125" style="125" customWidth="1"/>
    <col min="22" max="22" width="1.7265625" style="12" customWidth="1"/>
    <col min="23" max="23" width="25.54296875" style="12" hidden="1" customWidth="1"/>
    <col min="24" max="24" width="29.7265625" style="12" hidden="1" customWidth="1"/>
    <col min="25" max="25" width="30" style="12" hidden="1" customWidth="1"/>
    <col min="26" max="26" width="24.81640625" style="12" hidden="1" customWidth="1"/>
    <col min="27" max="27" width="22.81640625" style="12" hidden="1" customWidth="1"/>
    <col min="28" max="28" width="29.1796875" style="12" hidden="1" customWidth="1"/>
    <col min="29" max="31" width="19.81640625" style="12" hidden="1" customWidth="1"/>
    <col min="32" max="32" width="18.453125" style="12" hidden="1" customWidth="1"/>
    <col min="33" max="33" width="18" style="12" hidden="1" customWidth="1"/>
    <col min="34" max="16384" width="9.1796875" style="12"/>
  </cols>
  <sheetData>
    <row r="1" spans="2:33" ht="30.75" customHeight="1">
      <c r="B1" s="202"/>
      <c r="C1" s="203" t="s">
        <v>105</v>
      </c>
      <c r="D1" s="226"/>
      <c r="E1" s="204"/>
      <c r="F1" s="204"/>
      <c r="G1" s="204"/>
      <c r="H1" s="204"/>
      <c r="I1" s="204"/>
      <c r="J1" s="204"/>
      <c r="K1" s="204"/>
      <c r="L1" s="204"/>
      <c r="M1" s="205"/>
      <c r="N1" s="205"/>
      <c r="O1" s="204"/>
      <c r="P1" s="205"/>
      <c r="Q1" s="204"/>
      <c r="R1" s="205"/>
      <c r="S1" s="205"/>
      <c r="T1" s="205"/>
      <c r="U1" s="205"/>
    </row>
    <row r="2" spans="2:33" ht="16" thickBot="1">
      <c r="E2" s="177" t="str">
        <f>IF(D29="","","Detailed error message is displayed to the right =&gt;")</f>
        <v/>
      </c>
      <c r="F2" s="2"/>
      <c r="G2" s="2"/>
      <c r="H2" s="2"/>
      <c r="I2" s="45"/>
      <c r="J2" s="1"/>
      <c r="K2" s="1"/>
      <c r="L2" s="1"/>
      <c r="M2" s="33"/>
      <c r="N2" s="33"/>
      <c r="O2" s="1"/>
      <c r="P2" s="33"/>
      <c r="Q2" s="1"/>
      <c r="R2" s="33"/>
      <c r="S2" s="33"/>
      <c r="T2" s="33"/>
      <c r="U2" s="33"/>
    </row>
    <row r="3" spans="2:33" ht="20.149999999999999" customHeight="1" thickBot="1">
      <c r="B3" s="145" t="s">
        <v>70</v>
      </c>
      <c r="C3" s="145"/>
      <c r="D3" s="292" t="s">
        <v>0</v>
      </c>
      <c r="E3" s="292"/>
      <c r="F3" s="292"/>
      <c r="G3" s="292"/>
      <c r="H3" s="292"/>
      <c r="I3" s="46"/>
      <c r="J3" s="46" t="s">
        <v>7</v>
      </c>
      <c r="K3" s="294">
        <v>2021</v>
      </c>
      <c r="L3" s="295"/>
      <c r="M3" s="295"/>
      <c r="N3" s="295"/>
      <c r="O3" s="295"/>
      <c r="P3" s="295"/>
      <c r="Q3" s="295"/>
      <c r="R3" s="295"/>
      <c r="S3" s="295"/>
      <c r="T3" s="295"/>
      <c r="U3" s="296"/>
    </row>
    <row r="4" spans="2:33" ht="20.25" customHeight="1">
      <c r="B4" s="283" t="s">
        <v>10</v>
      </c>
      <c r="C4" s="284"/>
      <c r="D4" s="288"/>
      <c r="E4" s="289"/>
      <c r="F4" s="289"/>
      <c r="G4" s="289"/>
      <c r="H4" s="290"/>
      <c r="I4" s="46"/>
      <c r="J4" s="146" t="s">
        <v>226</v>
      </c>
      <c r="K4" s="300"/>
      <c r="L4" s="301"/>
      <c r="M4" s="301"/>
      <c r="N4" s="301"/>
      <c r="O4" s="301"/>
      <c r="P4" s="301"/>
      <c r="Q4" s="301"/>
      <c r="R4" s="301"/>
      <c r="S4" s="301"/>
      <c r="T4" s="301"/>
      <c r="U4" s="302"/>
    </row>
    <row r="5" spans="2:33" ht="26.25" customHeight="1">
      <c r="B5" s="285" t="s">
        <v>215</v>
      </c>
      <c r="C5" s="284"/>
      <c r="D5" s="288"/>
      <c r="E5" s="289"/>
      <c r="F5" s="289"/>
      <c r="G5" s="289"/>
      <c r="H5" s="290"/>
      <c r="I5" s="46"/>
      <c r="J5" s="146" t="s">
        <v>226</v>
      </c>
      <c r="K5" s="303"/>
      <c r="L5" s="304"/>
      <c r="M5" s="304"/>
      <c r="N5" s="304"/>
      <c r="O5" s="304"/>
      <c r="P5" s="304"/>
      <c r="Q5" s="304"/>
      <c r="R5" s="304"/>
      <c r="S5" s="304"/>
      <c r="T5" s="304"/>
      <c r="U5" s="305"/>
    </row>
    <row r="6" spans="2:33" ht="31.5" customHeight="1">
      <c r="B6" s="75"/>
      <c r="C6" s="75"/>
      <c r="D6" s="80" t="str">
        <f>IF(OR(Member=0,Supervisor=0,Title.member=0,Title.supervisor=0),"• Missing information – Fill in all names and title/function on the Start Page","")</f>
        <v>• Missing information – Fill in all names and title/function on the Start Page</v>
      </c>
      <c r="E6" s="64"/>
      <c r="F6" s="122"/>
      <c r="G6" s="122"/>
      <c r="H6" s="122"/>
      <c r="I6" s="122"/>
      <c r="J6" s="123"/>
      <c r="K6" s="124"/>
      <c r="L6" s="124"/>
      <c r="M6" s="124"/>
      <c r="N6" s="124"/>
      <c r="O6" s="124"/>
      <c r="P6" s="124"/>
      <c r="Q6" s="124"/>
      <c r="R6" s="124"/>
      <c r="S6" s="124"/>
      <c r="T6" s="124"/>
    </row>
    <row r="7" spans="2:33" s="127" customFormat="1" ht="20.149999999999999" customHeight="1">
      <c r="B7" s="129"/>
      <c r="C7" s="129"/>
      <c r="D7" s="126" t="s">
        <v>224</v>
      </c>
      <c r="E7" s="130"/>
      <c r="F7" s="126" t="s">
        <v>225</v>
      </c>
      <c r="G7" s="130"/>
      <c r="H7" s="126" t="s">
        <v>71</v>
      </c>
      <c r="I7" s="126"/>
      <c r="J7" s="126" t="s">
        <v>227</v>
      </c>
      <c r="K7" s="126"/>
      <c r="L7" s="126" t="s">
        <v>66</v>
      </c>
      <c r="M7" s="131"/>
      <c r="N7" s="126"/>
      <c r="O7" s="297" t="s">
        <v>57</v>
      </c>
      <c r="P7" s="298"/>
      <c r="Q7" s="298"/>
      <c r="R7" s="298"/>
      <c r="S7" s="298"/>
      <c r="T7" s="298"/>
      <c r="U7" s="298"/>
      <c r="AA7" s="153" t="s">
        <v>104</v>
      </c>
      <c r="AB7" s="153" t="s">
        <v>103</v>
      </c>
      <c r="AC7" s="153" t="s">
        <v>101</v>
      </c>
      <c r="AD7" s="153" t="s">
        <v>108</v>
      </c>
      <c r="AE7" s="153" t="s">
        <v>109</v>
      </c>
      <c r="AF7" s="153" t="s">
        <v>102</v>
      </c>
      <c r="AG7" s="12"/>
    </row>
    <row r="8" spans="2:33" ht="17.149999999999999" customHeight="1">
      <c r="B8" s="182">
        <v>1</v>
      </c>
      <c r="D8" s="139"/>
      <c r="E8" s="112"/>
      <c r="F8" s="139"/>
      <c r="G8" s="112"/>
      <c r="H8" s="139"/>
      <c r="I8" s="140"/>
      <c r="J8" s="139"/>
      <c r="K8" s="126"/>
      <c r="L8" s="286"/>
      <c r="M8" s="287"/>
      <c r="N8" s="129"/>
      <c r="O8" s="291"/>
      <c r="P8" s="291"/>
      <c r="Q8" s="291"/>
      <c r="R8" s="291"/>
      <c r="S8" s="291"/>
      <c r="T8" s="291"/>
      <c r="U8" s="291"/>
      <c r="W8" s="49" t="str">
        <f>IF(AND(AB8="SANT",WP.01=""),"You must enter a WP number!","")</f>
        <v/>
      </c>
      <c r="X8" s="49" t="str">
        <f>IF(AND(Project.01&gt;0,Contract.01=""),"You must enter a Contract number!","")</f>
        <v/>
      </c>
      <c r="Y8" s="49" t="str">
        <f t="shared" ref="Y8:Y26" si="0">IF(AND(D8&gt;0,J8=""),"You must enter a Programme/type!","")</f>
        <v/>
      </c>
      <c r="Z8" s="49" t="str">
        <f>IF(AND(Type.01="FP7",Activity.01=""),"You must enter a FP7 activity!","")</f>
        <v/>
      </c>
      <c r="AA8" s="154">
        <f t="shared" ref="AA8:AA26" si="1">IF(W8="",0,1)</f>
        <v>0</v>
      </c>
      <c r="AB8" s="154" t="str">
        <f>IF(OR(Type.01="H2020",Type.01="FP7"),"SANT","FALSKT")</f>
        <v>FALSKT</v>
      </c>
      <c r="AC8" s="154">
        <f t="shared" ref="AC8:AC26" si="2">IF(X8="",0,1)</f>
        <v>0</v>
      </c>
      <c r="AD8" s="154">
        <f t="shared" ref="AD8:AD26" si="3">IF(Y8="",0,1)</f>
        <v>0</v>
      </c>
      <c r="AE8" s="154">
        <f t="shared" ref="AE8:AE26" si="4">IF(Z8="",0,1)</f>
        <v>0</v>
      </c>
      <c r="AF8" s="154">
        <f t="shared" ref="AF8:AF26" si="5">IF(D8="",0,1)</f>
        <v>0</v>
      </c>
    </row>
    <row r="9" spans="2:33" ht="17.149999999999999" customHeight="1">
      <c r="B9" s="182">
        <v>2</v>
      </c>
      <c r="D9" s="139"/>
      <c r="E9" s="112"/>
      <c r="F9" s="139"/>
      <c r="G9" s="112"/>
      <c r="H9" s="212"/>
      <c r="I9" s="141"/>
      <c r="J9" s="212"/>
      <c r="K9" s="126"/>
      <c r="L9" s="286"/>
      <c r="M9" s="287"/>
      <c r="N9" s="129"/>
      <c r="O9" s="286"/>
      <c r="P9" s="293"/>
      <c r="Q9" s="293"/>
      <c r="R9" s="293"/>
      <c r="S9" s="293"/>
      <c r="T9" s="293"/>
      <c r="U9" s="287"/>
      <c r="W9" s="49" t="str">
        <f>IF(AND(AB9="SANT",WP.02=""),"You must enter a WP number!","")</f>
        <v/>
      </c>
      <c r="X9" s="49" t="str">
        <f>IF(AND(Project.02&gt;0,Contract.02=""),"You must enter a Contract number!","")</f>
        <v/>
      </c>
      <c r="Y9" s="49" t="str">
        <f t="shared" si="0"/>
        <v/>
      </c>
      <c r="Z9" s="49" t="str">
        <f>IF(AND(Type.02="FP7",Activity.02=""),"You must enter a FP7 activity!","")</f>
        <v/>
      </c>
      <c r="AA9" s="154">
        <f t="shared" si="1"/>
        <v>0</v>
      </c>
      <c r="AB9" s="154" t="str">
        <f>IF(OR(Type.02="H2020",Type.02="FP7"),"SANT","FALSKT")</f>
        <v>FALSKT</v>
      </c>
      <c r="AC9" s="154">
        <f t="shared" si="2"/>
        <v>0</v>
      </c>
      <c r="AD9" s="154">
        <f t="shared" si="3"/>
        <v>0</v>
      </c>
      <c r="AE9" s="154">
        <f t="shared" si="4"/>
        <v>0</v>
      </c>
      <c r="AF9" s="154">
        <f t="shared" si="5"/>
        <v>0</v>
      </c>
    </row>
    <row r="10" spans="2:33" ht="17.149999999999999" customHeight="1">
      <c r="B10" s="182">
        <v>3</v>
      </c>
      <c r="D10" s="212"/>
      <c r="E10" s="112"/>
      <c r="F10" s="212"/>
      <c r="G10" s="112"/>
      <c r="H10" s="212"/>
      <c r="I10" s="141"/>
      <c r="J10" s="212"/>
      <c r="K10" s="126"/>
      <c r="L10" s="286"/>
      <c r="M10" s="287"/>
      <c r="N10" s="129"/>
      <c r="O10" s="286"/>
      <c r="P10" s="293"/>
      <c r="Q10" s="293"/>
      <c r="R10" s="293"/>
      <c r="S10" s="293"/>
      <c r="T10" s="293"/>
      <c r="U10" s="287"/>
      <c r="W10" s="49" t="str">
        <f>IF(AND(AB10="SANT",WP.03=""),"You must enter a WP number!","")</f>
        <v/>
      </c>
      <c r="X10" s="49" t="str">
        <f>IF(AND(Project.03&gt;0,Contract.03=""),"You must enter a Contract number!","")</f>
        <v/>
      </c>
      <c r="Y10" s="49" t="str">
        <f t="shared" si="0"/>
        <v/>
      </c>
      <c r="Z10" s="49" t="str">
        <f>IF(AND(Type.03="FP7",Activity.03=""),"You must enter a FP7 activity!","")</f>
        <v/>
      </c>
      <c r="AA10" s="154">
        <f t="shared" si="1"/>
        <v>0</v>
      </c>
      <c r="AB10" s="154" t="str">
        <f>IF(OR(Type.03="H2020",Type.03="FP7"),"SANT","FALSKT")</f>
        <v>FALSKT</v>
      </c>
      <c r="AC10" s="154">
        <f t="shared" si="2"/>
        <v>0</v>
      </c>
      <c r="AD10" s="154">
        <f t="shared" si="3"/>
        <v>0</v>
      </c>
      <c r="AE10" s="154">
        <f t="shared" si="4"/>
        <v>0</v>
      </c>
      <c r="AF10" s="154">
        <f t="shared" si="5"/>
        <v>0</v>
      </c>
    </row>
    <row r="11" spans="2:33" ht="17.149999999999999" customHeight="1">
      <c r="B11" s="182">
        <v>4</v>
      </c>
      <c r="D11" s="212"/>
      <c r="E11" s="112"/>
      <c r="F11" s="212"/>
      <c r="G11" s="112"/>
      <c r="H11" s="212"/>
      <c r="I11" s="141"/>
      <c r="J11" s="212"/>
      <c r="K11" s="126"/>
      <c r="L11" s="286"/>
      <c r="M11" s="287"/>
      <c r="N11" s="129"/>
      <c r="O11" s="286"/>
      <c r="P11" s="293"/>
      <c r="Q11" s="293"/>
      <c r="R11" s="293"/>
      <c r="S11" s="293"/>
      <c r="T11" s="293"/>
      <c r="U11" s="287"/>
      <c r="W11" s="49" t="str">
        <f>IF(AND(AB11="SANT",WP.04=""),"You must enter a WP number!","")</f>
        <v/>
      </c>
      <c r="X11" s="49" t="str">
        <f>IF(AND(Project.04&gt;0,Contract.04=""),"You must enter a Contract number!","")</f>
        <v/>
      </c>
      <c r="Y11" s="49" t="str">
        <f t="shared" si="0"/>
        <v/>
      </c>
      <c r="Z11" s="49" t="str">
        <f>IF(AND(Type.04="FP7",Activity.04=""),"You must enter a FP7 activity!","")</f>
        <v/>
      </c>
      <c r="AA11" s="154">
        <f t="shared" si="1"/>
        <v>0</v>
      </c>
      <c r="AB11" s="154" t="str">
        <f>IF(OR(Type.04="H2020",Type.04="FP7"),"SANT","FALSKT")</f>
        <v>FALSKT</v>
      </c>
      <c r="AC11" s="154">
        <f t="shared" si="2"/>
        <v>0</v>
      </c>
      <c r="AD11" s="154">
        <f t="shared" si="3"/>
        <v>0</v>
      </c>
      <c r="AE11" s="154">
        <f t="shared" si="4"/>
        <v>0</v>
      </c>
      <c r="AF11" s="154">
        <f t="shared" si="5"/>
        <v>0</v>
      </c>
    </row>
    <row r="12" spans="2:33" ht="17.149999999999999" customHeight="1">
      <c r="B12" s="182">
        <v>5</v>
      </c>
      <c r="D12" s="212"/>
      <c r="E12" s="112"/>
      <c r="F12" s="212"/>
      <c r="G12" s="112"/>
      <c r="H12" s="212"/>
      <c r="I12" s="141"/>
      <c r="J12" s="212"/>
      <c r="K12" s="126"/>
      <c r="L12" s="286"/>
      <c r="M12" s="287"/>
      <c r="N12" s="129"/>
      <c r="O12" s="286"/>
      <c r="P12" s="293"/>
      <c r="Q12" s="293"/>
      <c r="R12" s="293"/>
      <c r="S12" s="293"/>
      <c r="T12" s="293"/>
      <c r="U12" s="287"/>
      <c r="W12" s="49" t="str">
        <f>IF(AND(AB12="SANT",WP.05=""),"You must enter a WP number!","")</f>
        <v/>
      </c>
      <c r="X12" s="49" t="str">
        <f>IF(AND(Project.05&gt;0,Contract.05=""),"You must enter a Contract number!","")</f>
        <v/>
      </c>
      <c r="Y12" s="49" t="str">
        <f t="shared" si="0"/>
        <v/>
      </c>
      <c r="Z12" s="49" t="str">
        <f>IF(AND(Type.05="FP7",Activity.05=""),"You must enter a FP7 activity!","")</f>
        <v/>
      </c>
      <c r="AA12" s="154">
        <f t="shared" si="1"/>
        <v>0</v>
      </c>
      <c r="AB12" s="154" t="str">
        <f>IF(OR(Type.05="H2020",Type.05="FP7"),"SANT","FALSKT")</f>
        <v>FALSKT</v>
      </c>
      <c r="AC12" s="154">
        <f t="shared" si="2"/>
        <v>0</v>
      </c>
      <c r="AD12" s="154">
        <f t="shared" si="3"/>
        <v>0</v>
      </c>
      <c r="AE12" s="154">
        <f t="shared" si="4"/>
        <v>0</v>
      </c>
      <c r="AF12" s="154">
        <f t="shared" si="5"/>
        <v>0</v>
      </c>
    </row>
    <row r="13" spans="2:33" ht="17.149999999999999" customHeight="1">
      <c r="B13" s="182">
        <v>6</v>
      </c>
      <c r="D13" s="212"/>
      <c r="E13" s="112"/>
      <c r="F13" s="212"/>
      <c r="G13" s="112"/>
      <c r="H13" s="212"/>
      <c r="I13" s="141"/>
      <c r="J13" s="212"/>
      <c r="K13" s="126"/>
      <c r="L13" s="286"/>
      <c r="M13" s="287"/>
      <c r="N13" s="129"/>
      <c r="O13" s="286"/>
      <c r="P13" s="293"/>
      <c r="Q13" s="293"/>
      <c r="R13" s="293"/>
      <c r="S13" s="293"/>
      <c r="T13" s="293"/>
      <c r="U13" s="287"/>
      <c r="W13" s="49" t="str">
        <f>IF(AND(AB13="SANT",WP.06=""),"You must enter a WP number!","")</f>
        <v/>
      </c>
      <c r="X13" s="49" t="str">
        <f>IF(AND(Project.06&gt;0,Contract.06=""),"You must enter a Contract number!","")</f>
        <v/>
      </c>
      <c r="Y13" s="49" t="str">
        <f t="shared" si="0"/>
        <v/>
      </c>
      <c r="Z13" s="49" t="str">
        <f>IF(AND(Type.06="FP7",Activity.06=""),"You must enter a FP7 activity!","")</f>
        <v/>
      </c>
      <c r="AA13" s="154">
        <f t="shared" si="1"/>
        <v>0</v>
      </c>
      <c r="AB13" s="154" t="str">
        <f>IF(OR(Type.06="H2020",Type.06="FP7"),"SANT","FALSKT")</f>
        <v>FALSKT</v>
      </c>
      <c r="AC13" s="154">
        <f t="shared" si="2"/>
        <v>0</v>
      </c>
      <c r="AD13" s="154">
        <f t="shared" si="3"/>
        <v>0</v>
      </c>
      <c r="AE13" s="154">
        <f t="shared" si="4"/>
        <v>0</v>
      </c>
      <c r="AF13" s="154">
        <f t="shared" si="5"/>
        <v>0</v>
      </c>
    </row>
    <row r="14" spans="2:33" ht="17.149999999999999" customHeight="1">
      <c r="B14" s="182">
        <v>7</v>
      </c>
      <c r="D14" s="212"/>
      <c r="E14" s="112"/>
      <c r="F14" s="212"/>
      <c r="G14" s="112"/>
      <c r="H14" s="212"/>
      <c r="I14" s="141"/>
      <c r="J14" s="212"/>
      <c r="K14" s="126"/>
      <c r="L14" s="286"/>
      <c r="M14" s="287"/>
      <c r="N14" s="129"/>
      <c r="O14" s="286"/>
      <c r="P14" s="293"/>
      <c r="Q14" s="293"/>
      <c r="R14" s="293"/>
      <c r="S14" s="293"/>
      <c r="T14" s="293"/>
      <c r="U14" s="287"/>
      <c r="W14" s="49" t="str">
        <f>IF(AND(AB14="SANT",WP.07=""),"You must enter a WP number!","")</f>
        <v/>
      </c>
      <c r="X14" s="49" t="str">
        <f>IF(AND(Project.07&gt;0,Contract.07=""),"You must enter a Contract number!","")</f>
        <v/>
      </c>
      <c r="Y14" s="49" t="str">
        <f t="shared" si="0"/>
        <v/>
      </c>
      <c r="Z14" s="49" t="str">
        <f>IF(AND(Type.07="FP7",Activity.07=""),"You must enter a FP7 activity!","")</f>
        <v/>
      </c>
      <c r="AA14" s="154">
        <f t="shared" si="1"/>
        <v>0</v>
      </c>
      <c r="AB14" s="154" t="str">
        <f>IF(OR(Type.07="H2020",Type.07="FP7"),"SANT","FALSKT")</f>
        <v>FALSKT</v>
      </c>
      <c r="AC14" s="154">
        <f t="shared" si="2"/>
        <v>0</v>
      </c>
      <c r="AD14" s="154">
        <f t="shared" si="3"/>
        <v>0</v>
      </c>
      <c r="AE14" s="154">
        <f t="shared" si="4"/>
        <v>0</v>
      </c>
      <c r="AF14" s="154">
        <f t="shared" si="5"/>
        <v>0</v>
      </c>
    </row>
    <row r="15" spans="2:33" ht="17.149999999999999" customHeight="1">
      <c r="B15" s="182">
        <v>8</v>
      </c>
      <c r="D15" s="212"/>
      <c r="E15" s="142"/>
      <c r="F15" s="212"/>
      <c r="G15" s="112"/>
      <c r="H15" s="212"/>
      <c r="I15" s="141"/>
      <c r="J15" s="212"/>
      <c r="K15" s="126"/>
      <c r="L15" s="286"/>
      <c r="M15" s="287"/>
      <c r="N15" s="129"/>
      <c r="O15" s="286"/>
      <c r="P15" s="293"/>
      <c r="Q15" s="293"/>
      <c r="R15" s="293"/>
      <c r="S15" s="293"/>
      <c r="T15" s="293"/>
      <c r="U15" s="287"/>
      <c r="W15" s="49" t="str">
        <f>IF(AND(AB15="SANT",WP.08=""),"You must enter a WP number!","")</f>
        <v/>
      </c>
      <c r="X15" s="49" t="str">
        <f>IF(AND(Project.08&gt;0,Contract.08=""),"You must enter a Contract number!","")</f>
        <v/>
      </c>
      <c r="Y15" s="49" t="str">
        <f t="shared" si="0"/>
        <v/>
      </c>
      <c r="Z15" s="49" t="str">
        <f>IF(AND(Type.08="FP7",Activity.08=""),"You must enter a FP7 activity!","")</f>
        <v/>
      </c>
      <c r="AA15" s="154">
        <f t="shared" si="1"/>
        <v>0</v>
      </c>
      <c r="AB15" s="154" t="str">
        <f>IF(OR(Type.08="H2020",Type.08="FP7"),"SANT","FALSKT")</f>
        <v>FALSKT</v>
      </c>
      <c r="AC15" s="154">
        <f t="shared" si="2"/>
        <v>0</v>
      </c>
      <c r="AD15" s="154">
        <f t="shared" si="3"/>
        <v>0</v>
      </c>
      <c r="AE15" s="154">
        <f t="shared" si="4"/>
        <v>0</v>
      </c>
      <c r="AF15" s="154">
        <f t="shared" si="5"/>
        <v>0</v>
      </c>
    </row>
    <row r="16" spans="2:33" ht="17.149999999999999" customHeight="1">
      <c r="B16" s="182">
        <v>9</v>
      </c>
      <c r="D16" s="212"/>
      <c r="E16" s="142"/>
      <c r="F16" s="212"/>
      <c r="G16" s="112"/>
      <c r="H16" s="212"/>
      <c r="I16" s="141"/>
      <c r="J16" s="212"/>
      <c r="K16" s="126"/>
      <c r="L16" s="286"/>
      <c r="M16" s="287"/>
      <c r="N16" s="129"/>
      <c r="O16" s="286"/>
      <c r="P16" s="293"/>
      <c r="Q16" s="293"/>
      <c r="R16" s="293"/>
      <c r="S16" s="293"/>
      <c r="T16" s="293"/>
      <c r="U16" s="287"/>
      <c r="W16" s="49" t="str">
        <f>IF(AND(AB16="SANT",WP.09=""),"You must enter a WP number!","")</f>
        <v/>
      </c>
      <c r="X16" s="49" t="str">
        <f>IF(AND(Project.09&gt;0,Contract.09=""),"You must enter a Contract number!","")</f>
        <v/>
      </c>
      <c r="Y16" s="49" t="str">
        <f t="shared" si="0"/>
        <v/>
      </c>
      <c r="Z16" s="49" t="str">
        <f>IF(AND(Type.09="FP7",Activity.09=""),"You must enter a FP7 activity!","")</f>
        <v/>
      </c>
      <c r="AA16" s="154">
        <f t="shared" si="1"/>
        <v>0</v>
      </c>
      <c r="AB16" s="154" t="str">
        <f>IF(OR(Type.09="H2020",Type.09="FP7"),"SANT","FALSKT")</f>
        <v>FALSKT</v>
      </c>
      <c r="AC16" s="154">
        <f t="shared" si="2"/>
        <v>0</v>
      </c>
      <c r="AD16" s="154">
        <f t="shared" si="3"/>
        <v>0</v>
      </c>
      <c r="AE16" s="154">
        <f t="shared" si="4"/>
        <v>0</v>
      </c>
      <c r="AF16" s="154">
        <f t="shared" si="5"/>
        <v>0</v>
      </c>
    </row>
    <row r="17" spans="2:33" ht="17.149999999999999" customHeight="1">
      <c r="B17" s="182">
        <v>10</v>
      </c>
      <c r="D17" s="212"/>
      <c r="E17" s="134"/>
      <c r="F17" s="212"/>
      <c r="G17" s="134"/>
      <c r="H17" s="212"/>
      <c r="I17" s="135"/>
      <c r="J17" s="212"/>
      <c r="K17" s="126"/>
      <c r="L17" s="286"/>
      <c r="M17" s="287"/>
      <c r="N17" s="112"/>
      <c r="O17" s="286"/>
      <c r="P17" s="293"/>
      <c r="Q17" s="293"/>
      <c r="R17" s="293"/>
      <c r="S17" s="293"/>
      <c r="T17" s="293"/>
      <c r="U17" s="287"/>
      <c r="W17" s="49" t="str">
        <f>IF(AND(AB17="SANT",WP.10=""),"You must enter a WP number!","")</f>
        <v/>
      </c>
      <c r="X17" s="49" t="str">
        <f>IF(AND(Project.10&gt;0,Contract.10=""),"You must enter a Contract number!","")</f>
        <v/>
      </c>
      <c r="Y17" s="49" t="str">
        <f t="shared" si="0"/>
        <v/>
      </c>
      <c r="Z17" s="49" t="str">
        <f>IF(AND(Type.10="FP7",Activity.10=""),"You must enter a FP7 activity!","")</f>
        <v/>
      </c>
      <c r="AA17" s="154">
        <f t="shared" si="1"/>
        <v>0</v>
      </c>
      <c r="AB17" s="154" t="str">
        <f>IF(OR(Type.10="H2020",Type.10="FP7"),"SANT","FALSKT")</f>
        <v>FALSKT</v>
      </c>
      <c r="AC17" s="154">
        <f t="shared" si="2"/>
        <v>0</v>
      </c>
      <c r="AD17" s="154">
        <f t="shared" si="3"/>
        <v>0</v>
      </c>
      <c r="AE17" s="154">
        <f t="shared" si="4"/>
        <v>0</v>
      </c>
      <c r="AF17" s="154">
        <f t="shared" si="5"/>
        <v>0</v>
      </c>
    </row>
    <row r="18" spans="2:33" ht="17.149999999999999" customHeight="1">
      <c r="B18" s="182">
        <v>11</v>
      </c>
      <c r="D18" s="212"/>
      <c r="E18" s="134"/>
      <c r="F18" s="212"/>
      <c r="G18" s="112"/>
      <c r="H18" s="212"/>
      <c r="I18" s="136"/>
      <c r="J18" s="212"/>
      <c r="K18" s="126"/>
      <c r="L18" s="286"/>
      <c r="M18" s="287"/>
      <c r="N18" s="137"/>
      <c r="O18" s="286"/>
      <c r="P18" s="293"/>
      <c r="Q18" s="293"/>
      <c r="R18" s="293"/>
      <c r="S18" s="293"/>
      <c r="T18" s="293"/>
      <c r="U18" s="287"/>
      <c r="W18" s="49" t="str">
        <f>IF(AND(AB18="SANT",WP.11=""),"You must enter a WP number!","")</f>
        <v/>
      </c>
      <c r="X18" s="49" t="str">
        <f>IF(AND(Project.11&gt;0,Contract.11=""),"You must enter a Contract number!","")</f>
        <v/>
      </c>
      <c r="Y18" s="49" t="str">
        <f t="shared" si="0"/>
        <v/>
      </c>
      <c r="Z18" s="49" t="str">
        <f>IF(AND(Type.11="FP7",Activity.11=""),"You must enter a FP7 activity!","")</f>
        <v/>
      </c>
      <c r="AA18" s="154">
        <f t="shared" si="1"/>
        <v>0</v>
      </c>
      <c r="AB18" s="154" t="str">
        <f>IF(OR(Type.11="H2020",Type.11="FP7"),"SANT","FALSKT")</f>
        <v>FALSKT</v>
      </c>
      <c r="AC18" s="154">
        <f t="shared" si="2"/>
        <v>0</v>
      </c>
      <c r="AD18" s="154">
        <f t="shared" si="3"/>
        <v>0</v>
      </c>
      <c r="AE18" s="154">
        <f t="shared" si="4"/>
        <v>0</v>
      </c>
      <c r="AF18" s="154">
        <f t="shared" si="5"/>
        <v>0</v>
      </c>
    </row>
    <row r="19" spans="2:33" s="102" customFormat="1" ht="17.149999999999999" customHeight="1">
      <c r="B19" s="182">
        <v>12</v>
      </c>
      <c r="D19" s="212"/>
      <c r="E19" s="143"/>
      <c r="F19" s="212"/>
      <c r="G19" s="143"/>
      <c r="H19" s="212"/>
      <c r="I19" s="143"/>
      <c r="J19" s="212"/>
      <c r="K19" s="126"/>
      <c r="L19" s="286"/>
      <c r="M19" s="287"/>
      <c r="N19" s="138"/>
      <c r="O19" s="286"/>
      <c r="P19" s="293"/>
      <c r="Q19" s="293"/>
      <c r="R19" s="293"/>
      <c r="S19" s="293"/>
      <c r="T19" s="293"/>
      <c r="U19" s="287"/>
      <c r="W19" s="49" t="str">
        <f>IF(AND(AB19="SANT",WP.12=""),"You must enter a WP number!","")</f>
        <v/>
      </c>
      <c r="X19" s="49" t="str">
        <f>IF(AND(Project.12&gt;0,Contract.12=""),"You must enter a Contract number!","")</f>
        <v/>
      </c>
      <c r="Y19" s="49" t="str">
        <f t="shared" si="0"/>
        <v/>
      </c>
      <c r="Z19" s="49" t="str">
        <f>IF(AND(Type.12="FP7",Activity.12=""),"You must enter a FP7 activity!","")</f>
        <v/>
      </c>
      <c r="AA19" s="154">
        <f t="shared" si="1"/>
        <v>0</v>
      </c>
      <c r="AB19" s="154" t="str">
        <f>IF(OR(Type.12="H2020",Type.12="FP7"),"SANT","FALSKT")</f>
        <v>FALSKT</v>
      </c>
      <c r="AC19" s="154">
        <f t="shared" si="2"/>
        <v>0</v>
      </c>
      <c r="AD19" s="154">
        <f t="shared" si="3"/>
        <v>0</v>
      </c>
      <c r="AE19" s="154">
        <f t="shared" si="4"/>
        <v>0</v>
      </c>
      <c r="AF19" s="154">
        <f t="shared" si="5"/>
        <v>0</v>
      </c>
      <c r="AG19" s="12"/>
    </row>
    <row r="20" spans="2:33" ht="17.149999999999999" customHeight="1">
      <c r="B20" s="182">
        <v>13</v>
      </c>
      <c r="D20" s="212"/>
      <c r="E20" s="112"/>
      <c r="F20" s="212"/>
      <c r="G20" s="112"/>
      <c r="H20" s="212"/>
      <c r="I20" s="136"/>
      <c r="J20" s="212"/>
      <c r="K20" s="126"/>
      <c r="L20" s="286"/>
      <c r="M20" s="287"/>
      <c r="N20" s="137"/>
      <c r="O20" s="286"/>
      <c r="P20" s="293"/>
      <c r="Q20" s="293"/>
      <c r="R20" s="293"/>
      <c r="S20" s="293"/>
      <c r="T20" s="293"/>
      <c r="U20" s="287"/>
      <c r="W20" s="49" t="str">
        <f>IF(AND(AB20="SANT",WP.13=""),"You must enter a WP number!","")</f>
        <v/>
      </c>
      <c r="X20" s="49" t="str">
        <f>IF(AND(Project.13&gt;0,Contract.13=""),"You must enter a Contract number!","")</f>
        <v/>
      </c>
      <c r="Y20" s="49" t="str">
        <f t="shared" si="0"/>
        <v/>
      </c>
      <c r="Z20" s="49" t="str">
        <f>IF(AND(Type.13="FP7",Activity.13=""),"You must enter a FP7 activity!","")</f>
        <v/>
      </c>
      <c r="AA20" s="154">
        <f t="shared" si="1"/>
        <v>0</v>
      </c>
      <c r="AB20" s="154" t="str">
        <f>IF(OR(Type.13="H2020",Type.13="FP7"),"SANT","FALSKT")</f>
        <v>FALSKT</v>
      </c>
      <c r="AC20" s="154">
        <f t="shared" si="2"/>
        <v>0</v>
      </c>
      <c r="AD20" s="154">
        <f t="shared" si="3"/>
        <v>0</v>
      </c>
      <c r="AE20" s="154">
        <f t="shared" si="4"/>
        <v>0</v>
      </c>
      <c r="AF20" s="154">
        <f t="shared" si="5"/>
        <v>0</v>
      </c>
    </row>
    <row r="21" spans="2:33" ht="17.149999999999999" customHeight="1">
      <c r="B21" s="182">
        <v>14</v>
      </c>
      <c r="D21" s="212"/>
      <c r="E21" s="144"/>
      <c r="F21" s="212"/>
      <c r="G21" s="144"/>
      <c r="H21" s="212"/>
      <c r="I21" s="144"/>
      <c r="J21" s="212"/>
      <c r="K21" s="126"/>
      <c r="L21" s="286"/>
      <c r="M21" s="287"/>
      <c r="N21" s="144"/>
      <c r="O21" s="286"/>
      <c r="P21" s="293"/>
      <c r="Q21" s="293"/>
      <c r="R21" s="293"/>
      <c r="S21" s="293"/>
      <c r="T21" s="293"/>
      <c r="U21" s="287"/>
      <c r="W21" s="49" t="str">
        <f>IF(AND(AB21="SANT",WP.14=""),"You must enter a WP number!","")</f>
        <v/>
      </c>
      <c r="X21" s="49" t="str">
        <f>IF(AND(Project.14&gt;0,Contract.14=""),"You must enter a Contract number!","")</f>
        <v/>
      </c>
      <c r="Y21" s="49" t="str">
        <f t="shared" si="0"/>
        <v/>
      </c>
      <c r="Z21" s="49" t="str">
        <f>IF(AND(Type.14="FP7",Activity.14=""),"You must enter a FP7 activity!","")</f>
        <v/>
      </c>
      <c r="AA21" s="154">
        <f t="shared" si="1"/>
        <v>0</v>
      </c>
      <c r="AB21" s="154" t="str">
        <f>IF(OR(Type.14="H2020",Type.14="FP7"),"SANT","FALSKT")</f>
        <v>FALSKT</v>
      </c>
      <c r="AC21" s="154">
        <f t="shared" si="2"/>
        <v>0</v>
      </c>
      <c r="AD21" s="154">
        <f t="shared" si="3"/>
        <v>0</v>
      </c>
      <c r="AE21" s="154">
        <f t="shared" si="4"/>
        <v>0</v>
      </c>
      <c r="AF21" s="154">
        <f t="shared" si="5"/>
        <v>0</v>
      </c>
    </row>
    <row r="22" spans="2:33" ht="17.149999999999999" customHeight="1">
      <c r="B22" s="182">
        <v>15</v>
      </c>
      <c r="D22" s="212"/>
      <c r="E22" s="112"/>
      <c r="F22" s="212"/>
      <c r="G22" s="112"/>
      <c r="H22" s="212"/>
      <c r="I22" s="136"/>
      <c r="J22" s="212"/>
      <c r="K22" s="126"/>
      <c r="L22" s="286"/>
      <c r="M22" s="287"/>
      <c r="N22" s="137"/>
      <c r="O22" s="286"/>
      <c r="P22" s="293"/>
      <c r="Q22" s="293"/>
      <c r="R22" s="293"/>
      <c r="S22" s="293"/>
      <c r="T22" s="293"/>
      <c r="U22" s="287"/>
      <c r="W22" s="49" t="str">
        <f>IF(AND(AB22="SANT",WP.15=""),"You must enter a WP number!","")</f>
        <v/>
      </c>
      <c r="X22" s="49" t="str">
        <f>IF(AND(Project.15&gt;0,Contract.15=""),"You must enter a Contract number!","")</f>
        <v/>
      </c>
      <c r="Y22" s="49" t="str">
        <f t="shared" si="0"/>
        <v/>
      </c>
      <c r="Z22" s="49" t="str">
        <f>IF(AND(Type.15="FP7",Activity.15=""),"You must enter a FP7 activity!","")</f>
        <v/>
      </c>
      <c r="AA22" s="154">
        <f t="shared" si="1"/>
        <v>0</v>
      </c>
      <c r="AB22" s="154" t="str">
        <f>IF(OR(Type.15="H2020",Type.15="FP7"),"SANT","FALSKT")</f>
        <v>FALSKT</v>
      </c>
      <c r="AC22" s="154">
        <f t="shared" si="2"/>
        <v>0</v>
      </c>
      <c r="AD22" s="154">
        <f t="shared" si="3"/>
        <v>0</v>
      </c>
      <c r="AE22" s="154">
        <f t="shared" si="4"/>
        <v>0</v>
      </c>
      <c r="AF22" s="154">
        <f t="shared" si="5"/>
        <v>0</v>
      </c>
    </row>
    <row r="23" spans="2:33" ht="17.149999999999999" customHeight="1">
      <c r="B23" s="182">
        <v>16</v>
      </c>
      <c r="D23" s="212"/>
      <c r="E23" s="112"/>
      <c r="F23" s="212"/>
      <c r="G23" s="112"/>
      <c r="H23" s="212"/>
      <c r="I23" s="136"/>
      <c r="J23" s="212"/>
      <c r="K23" s="126"/>
      <c r="L23" s="286"/>
      <c r="M23" s="287"/>
      <c r="N23" s="137"/>
      <c r="O23" s="286"/>
      <c r="P23" s="293"/>
      <c r="Q23" s="293"/>
      <c r="R23" s="293"/>
      <c r="S23" s="293"/>
      <c r="T23" s="293"/>
      <c r="U23" s="287"/>
      <c r="W23" s="49" t="str">
        <f>IF(AND(AB23="SANT",WP.16=""),"You must enter a WP number!","")</f>
        <v/>
      </c>
      <c r="X23" s="49" t="str">
        <f>IF(AND(Project.16&gt;0,Contract.16=""),"You must enter a Contract number!","")</f>
        <v/>
      </c>
      <c r="Y23" s="49" t="str">
        <f t="shared" si="0"/>
        <v/>
      </c>
      <c r="Z23" s="49" t="str">
        <f>IF(AND(Type.16="FP7",Activity.16=""),"You must enter a FP7 activity!","")</f>
        <v/>
      </c>
      <c r="AA23" s="154">
        <f t="shared" si="1"/>
        <v>0</v>
      </c>
      <c r="AB23" s="154" t="str">
        <f>IF(OR(Type.16="H2020",Type.16="FP7"),"SANT","FALSKT")</f>
        <v>FALSKT</v>
      </c>
      <c r="AC23" s="154">
        <f t="shared" si="2"/>
        <v>0</v>
      </c>
      <c r="AD23" s="154">
        <f t="shared" si="3"/>
        <v>0</v>
      </c>
      <c r="AE23" s="154">
        <f t="shared" si="4"/>
        <v>0</v>
      </c>
      <c r="AF23" s="154">
        <f t="shared" si="5"/>
        <v>0</v>
      </c>
    </row>
    <row r="24" spans="2:33" ht="17.149999999999999" customHeight="1">
      <c r="B24" s="182">
        <v>17</v>
      </c>
      <c r="D24" s="212"/>
      <c r="E24" s="112"/>
      <c r="F24" s="212"/>
      <c r="G24" s="112"/>
      <c r="H24" s="212"/>
      <c r="I24" s="136"/>
      <c r="J24" s="212"/>
      <c r="K24" s="126"/>
      <c r="L24" s="286"/>
      <c r="M24" s="287"/>
      <c r="N24" s="137"/>
      <c r="O24" s="286"/>
      <c r="P24" s="293"/>
      <c r="Q24" s="293"/>
      <c r="R24" s="293"/>
      <c r="S24" s="293"/>
      <c r="T24" s="293"/>
      <c r="U24" s="287"/>
      <c r="W24" s="49" t="str">
        <f>IF(AND(AB24="SANT",WP.17=""),"You must enter a WP number!","")</f>
        <v/>
      </c>
      <c r="X24" s="49" t="str">
        <f>IF(AND(Project.17&gt;0,Contract.17=""),"You must enter a Contract number!","")</f>
        <v/>
      </c>
      <c r="Y24" s="49" t="str">
        <f t="shared" si="0"/>
        <v/>
      </c>
      <c r="Z24" s="49" t="str">
        <f>IF(AND(Type.17="FP7",Activity.17=""),"You must enter a FP7 activity!","")</f>
        <v/>
      </c>
      <c r="AA24" s="154">
        <f t="shared" si="1"/>
        <v>0</v>
      </c>
      <c r="AB24" s="154" t="str">
        <f>IF(OR(Type.17="H2020",Type.17="FP7"),"SANT","FALSKT")</f>
        <v>FALSKT</v>
      </c>
      <c r="AC24" s="154">
        <f t="shared" si="2"/>
        <v>0</v>
      </c>
      <c r="AD24" s="154">
        <f t="shared" si="3"/>
        <v>0</v>
      </c>
      <c r="AE24" s="154">
        <f t="shared" si="4"/>
        <v>0</v>
      </c>
      <c r="AF24" s="154">
        <f t="shared" si="5"/>
        <v>0</v>
      </c>
    </row>
    <row r="25" spans="2:33" ht="17.149999999999999" customHeight="1">
      <c r="B25" s="182">
        <v>18</v>
      </c>
      <c r="D25" s="212"/>
      <c r="E25" s="112"/>
      <c r="F25" s="212"/>
      <c r="G25" s="112"/>
      <c r="H25" s="212"/>
      <c r="I25" s="136"/>
      <c r="J25" s="212"/>
      <c r="K25" s="126"/>
      <c r="L25" s="286"/>
      <c r="M25" s="287"/>
      <c r="N25" s="137"/>
      <c r="O25" s="286"/>
      <c r="P25" s="293"/>
      <c r="Q25" s="293"/>
      <c r="R25" s="293"/>
      <c r="S25" s="293"/>
      <c r="T25" s="293"/>
      <c r="U25" s="287"/>
      <c r="W25" s="49" t="str">
        <f>IF(AND(AB25="SANT",WP.18=""),"You must enter a WP number!","")</f>
        <v/>
      </c>
      <c r="X25" s="49" t="str">
        <f>IF(AND(Project.18&gt;0,Contract.18=""),"You must enter a Contract number!","")</f>
        <v/>
      </c>
      <c r="Y25" s="49" t="str">
        <f t="shared" si="0"/>
        <v/>
      </c>
      <c r="Z25" s="49" t="str">
        <f>IF(AND(Type.18="FP7",Activity.18=""),"You must enter a FP7 activity!","")</f>
        <v/>
      </c>
      <c r="AA25" s="154">
        <f t="shared" si="1"/>
        <v>0</v>
      </c>
      <c r="AB25" s="154" t="str">
        <f>IF(OR(Type.18="H2020",Type.18="FP7"),"SANT","FALSKT")</f>
        <v>FALSKT</v>
      </c>
      <c r="AC25" s="154">
        <f t="shared" si="2"/>
        <v>0</v>
      </c>
      <c r="AD25" s="154">
        <f t="shared" si="3"/>
        <v>0</v>
      </c>
      <c r="AE25" s="154">
        <f t="shared" si="4"/>
        <v>0</v>
      </c>
      <c r="AF25" s="154">
        <f t="shared" si="5"/>
        <v>0</v>
      </c>
    </row>
    <row r="26" spans="2:33" ht="17.149999999999999" customHeight="1">
      <c r="B26" s="182">
        <v>19</v>
      </c>
      <c r="D26" s="212"/>
      <c r="E26" s="112"/>
      <c r="F26" s="212"/>
      <c r="G26" s="112"/>
      <c r="H26" s="212"/>
      <c r="I26" s="136"/>
      <c r="J26" s="212"/>
      <c r="K26" s="126"/>
      <c r="L26" s="286"/>
      <c r="M26" s="287"/>
      <c r="N26" s="137"/>
      <c r="O26" s="286"/>
      <c r="P26" s="293"/>
      <c r="Q26" s="293"/>
      <c r="R26" s="293"/>
      <c r="S26" s="293"/>
      <c r="T26" s="293"/>
      <c r="U26" s="287"/>
      <c r="W26" s="49" t="str">
        <f>IF(AND(AB26="SANT",WP.19=""),"You must enter a WP number!","")</f>
        <v/>
      </c>
      <c r="X26" s="49" t="str">
        <f>IF(AND(Project.19&gt;0,Contract.19=""),"You must enter a Contract number!","")</f>
        <v/>
      </c>
      <c r="Y26" s="49" t="str">
        <f t="shared" si="0"/>
        <v/>
      </c>
      <c r="Z26" s="49" t="str">
        <f>IF(AND(Type.19="FP7",Activity.19=""),"You must enter a FP7 activity!","")</f>
        <v/>
      </c>
      <c r="AA26" s="154">
        <f t="shared" si="1"/>
        <v>0</v>
      </c>
      <c r="AB26" s="154" t="str">
        <f>IF(OR(Type.19="H2020",Type.19="FP7"),"SANT","FALSKT")</f>
        <v>FALSKT</v>
      </c>
      <c r="AC26" s="154">
        <f t="shared" si="2"/>
        <v>0</v>
      </c>
      <c r="AD26" s="154">
        <f t="shared" si="3"/>
        <v>0</v>
      </c>
      <c r="AE26" s="154">
        <f t="shared" si="4"/>
        <v>0</v>
      </c>
      <c r="AF26" s="154">
        <f t="shared" si="5"/>
        <v>0</v>
      </c>
    </row>
    <row r="27" spans="2:33" ht="15.5">
      <c r="B27" s="132"/>
      <c r="C27" s="133"/>
      <c r="D27" s="227" t="s">
        <v>106</v>
      </c>
      <c r="E27" s="136"/>
      <c r="F27" s="151"/>
      <c r="G27" s="130"/>
      <c r="H27" s="151"/>
      <c r="I27" s="130"/>
      <c r="J27" s="178"/>
      <c r="K27" s="126"/>
      <c r="L27" s="299"/>
      <c r="M27" s="299"/>
      <c r="N27" s="152"/>
      <c r="O27" s="299"/>
      <c r="P27" s="299"/>
      <c r="Q27" s="299"/>
      <c r="R27" s="299"/>
      <c r="S27" s="299"/>
      <c r="T27" s="299"/>
      <c r="U27" s="299"/>
      <c r="W27" s="102"/>
      <c r="X27" s="102"/>
      <c r="Y27" s="102"/>
      <c r="Z27" s="102"/>
      <c r="AA27" s="154"/>
      <c r="AB27" s="154"/>
      <c r="AC27" s="154"/>
      <c r="AD27" s="154"/>
      <c r="AE27" s="154"/>
      <c r="AF27" s="154"/>
    </row>
    <row r="28" spans="2:33" ht="14.5">
      <c r="AA28" s="154">
        <f>SUM(AA8:AA27)</f>
        <v>0</v>
      </c>
      <c r="AB28" s="154"/>
      <c r="AC28" s="154">
        <f t="shared" ref="AC28:AF28" si="6">SUM(AC8:AC27)</f>
        <v>0</v>
      </c>
      <c r="AD28" s="154">
        <f t="shared" ref="AD28:AE28" si="7">SUM(AD8:AD27)</f>
        <v>0</v>
      </c>
      <c r="AE28" s="154">
        <f t="shared" si="7"/>
        <v>0</v>
      </c>
      <c r="AF28" s="154">
        <f t="shared" si="6"/>
        <v>0</v>
      </c>
    </row>
    <row r="29" spans="2:33" ht="17.25" customHeight="1">
      <c r="D29" s="109" t="str">
        <f>IF(SUM(AA28:AE28)&gt;0,"MISSING INFORMATION! - Please double check so all project information is entered in the start page!","")</f>
        <v/>
      </c>
    </row>
    <row r="30" spans="2:33" ht="17.25" customHeight="1">
      <c r="D30" s="109" t="str">
        <f>IF(AF28=0,"• Missing information – Enter Project Acronym/name","")</f>
        <v>• Missing information – Enter Project Acronym/name</v>
      </c>
    </row>
    <row r="31" spans="2:33" ht="17.25" customHeight="1">
      <c r="D31" s="109"/>
    </row>
    <row r="32" spans="2:33" ht="24.75" customHeight="1">
      <c r="D32" s="280" t="s">
        <v>107</v>
      </c>
      <c r="E32" s="281"/>
      <c r="F32" s="281"/>
      <c r="G32" s="281"/>
      <c r="H32" s="281"/>
      <c r="I32" s="281"/>
      <c r="J32" s="281"/>
      <c r="K32" s="281"/>
      <c r="L32" s="281"/>
      <c r="M32" s="281"/>
      <c r="N32" s="281"/>
      <c r="O32" s="281"/>
      <c r="P32" s="281"/>
      <c r="Q32" s="281"/>
      <c r="R32" s="281"/>
      <c r="S32" s="281"/>
      <c r="T32" s="281"/>
      <c r="U32" s="282"/>
    </row>
    <row r="33" spans="5:21" ht="24.75" customHeight="1"/>
    <row r="38" spans="5:21" s="121" customFormat="1" ht="17.25" customHeight="1">
      <c r="E38" s="11"/>
      <c r="F38" s="11"/>
      <c r="G38" s="11"/>
      <c r="H38" s="11"/>
      <c r="I38" s="128"/>
      <c r="J38" s="11"/>
      <c r="K38" s="11"/>
      <c r="L38" s="11"/>
      <c r="M38" s="125"/>
      <c r="N38" s="125"/>
      <c r="O38" s="11"/>
      <c r="P38" s="125"/>
      <c r="Q38" s="11"/>
      <c r="R38" s="125"/>
      <c r="S38" s="125"/>
      <c r="T38" s="125"/>
      <c r="U38" s="125"/>
    </row>
    <row r="39" spans="5:21" s="121" customFormat="1" ht="17.25" customHeight="1">
      <c r="E39" s="11"/>
      <c r="F39" s="11"/>
      <c r="G39" s="11"/>
      <c r="H39" s="11"/>
      <c r="I39" s="128"/>
      <c r="J39" s="11"/>
      <c r="K39" s="11"/>
      <c r="L39" s="11"/>
      <c r="M39" s="125"/>
      <c r="N39" s="125"/>
      <c r="O39" s="11"/>
      <c r="P39" s="125"/>
      <c r="Q39" s="11"/>
      <c r="R39" s="125"/>
      <c r="S39" s="125"/>
      <c r="T39" s="125"/>
      <c r="U39" s="125"/>
    </row>
    <row r="40" spans="5:21" s="121" customFormat="1" ht="17.25" customHeight="1">
      <c r="E40" s="11"/>
      <c r="F40" s="11"/>
      <c r="G40" s="11"/>
      <c r="H40" s="11"/>
      <c r="I40" s="128"/>
      <c r="J40" s="11"/>
      <c r="K40" s="11"/>
      <c r="L40" s="11"/>
      <c r="M40" s="125"/>
      <c r="N40" s="125"/>
      <c r="O40" s="11"/>
      <c r="P40" s="125"/>
      <c r="Q40" s="11"/>
      <c r="R40" s="125"/>
      <c r="S40" s="125"/>
      <c r="T40" s="125"/>
      <c r="U40" s="125"/>
    </row>
    <row r="41" spans="5:21" s="121" customFormat="1" ht="17.25" customHeight="1">
      <c r="E41" s="11"/>
      <c r="F41" s="11"/>
      <c r="G41" s="11"/>
      <c r="H41" s="11"/>
      <c r="I41" s="128"/>
      <c r="J41" s="11"/>
      <c r="K41" s="11"/>
      <c r="L41" s="11"/>
      <c r="M41" s="125"/>
      <c r="N41" s="125"/>
      <c r="O41" s="11"/>
      <c r="P41" s="125"/>
      <c r="Q41" s="11"/>
      <c r="R41" s="125"/>
      <c r="S41" s="125"/>
      <c r="T41" s="125"/>
      <c r="U41" s="125"/>
    </row>
    <row r="42" spans="5:21" s="121" customFormat="1" ht="17.25" customHeight="1">
      <c r="E42" s="11"/>
      <c r="F42" s="11"/>
      <c r="G42" s="11"/>
      <c r="H42" s="11"/>
      <c r="I42" s="128"/>
      <c r="J42" s="11"/>
      <c r="K42" s="11"/>
      <c r="L42" s="11"/>
      <c r="M42" s="125"/>
      <c r="N42" s="125"/>
      <c r="O42" s="11"/>
      <c r="P42" s="125"/>
      <c r="Q42" s="11"/>
      <c r="R42" s="125"/>
      <c r="S42" s="125"/>
      <c r="T42" s="125"/>
      <c r="U42" s="125"/>
    </row>
    <row r="43" spans="5:21" s="121" customFormat="1" ht="17.25" customHeight="1">
      <c r="E43" s="11"/>
      <c r="F43" s="11"/>
      <c r="G43" s="11"/>
      <c r="H43" s="11"/>
      <c r="I43" s="128"/>
      <c r="J43" s="11"/>
      <c r="K43" s="11"/>
      <c r="L43" s="11"/>
      <c r="M43" s="125"/>
      <c r="N43" s="125"/>
      <c r="O43" s="11"/>
      <c r="P43" s="125"/>
      <c r="Q43" s="11"/>
      <c r="R43" s="125"/>
      <c r="S43" s="125"/>
      <c r="T43" s="125"/>
      <c r="U43" s="125"/>
    </row>
    <row r="44" spans="5:21" s="121" customFormat="1" ht="17.25" customHeight="1">
      <c r="E44" s="11"/>
      <c r="F44" s="11"/>
      <c r="G44" s="11"/>
      <c r="H44" s="11"/>
      <c r="I44" s="128"/>
      <c r="J44" s="11"/>
      <c r="K44" s="11"/>
      <c r="L44" s="11"/>
      <c r="M44" s="125"/>
      <c r="N44" s="125"/>
      <c r="O44" s="11"/>
      <c r="P44" s="125"/>
      <c r="Q44" s="11"/>
      <c r="R44" s="125"/>
      <c r="S44" s="125"/>
      <c r="T44" s="125"/>
      <c r="U44" s="125"/>
    </row>
    <row r="45" spans="5:21" s="121" customFormat="1" ht="17.25" customHeight="1">
      <c r="E45" s="11"/>
      <c r="F45" s="11"/>
      <c r="G45" s="11"/>
      <c r="H45" s="11"/>
      <c r="I45" s="128"/>
      <c r="J45" s="11"/>
      <c r="K45" s="11"/>
      <c r="L45" s="11"/>
      <c r="M45" s="125"/>
      <c r="N45" s="125"/>
      <c r="O45" s="11"/>
      <c r="P45" s="125"/>
      <c r="Q45" s="11"/>
      <c r="R45" s="125"/>
      <c r="S45" s="125"/>
      <c r="T45" s="125"/>
      <c r="U45" s="125"/>
    </row>
    <row r="46" spans="5:21" s="121" customFormat="1" ht="17.25" customHeight="1">
      <c r="E46" s="11"/>
      <c r="F46" s="11"/>
      <c r="G46" s="11"/>
      <c r="H46" s="11"/>
      <c r="I46" s="128"/>
      <c r="J46" s="11"/>
      <c r="K46" s="11"/>
      <c r="L46" s="11"/>
      <c r="M46" s="125"/>
      <c r="N46" s="125"/>
      <c r="O46" s="11"/>
      <c r="P46" s="125"/>
      <c r="Q46" s="11"/>
      <c r="R46" s="125"/>
      <c r="S46" s="125"/>
      <c r="T46" s="125"/>
      <c r="U46" s="125"/>
    </row>
    <row r="47" spans="5:21" s="121" customFormat="1" ht="17.25" customHeight="1">
      <c r="E47" s="11"/>
      <c r="F47" s="11"/>
      <c r="G47" s="11"/>
      <c r="H47" s="11"/>
      <c r="I47" s="128"/>
      <c r="J47" s="11"/>
      <c r="K47" s="11"/>
      <c r="L47" s="11"/>
      <c r="M47" s="125"/>
      <c r="N47" s="125"/>
      <c r="O47" s="11"/>
      <c r="P47" s="125"/>
      <c r="Q47" s="11"/>
      <c r="R47" s="125"/>
      <c r="S47" s="125"/>
      <c r="T47" s="125"/>
      <c r="U47" s="125"/>
    </row>
    <row r="48" spans="5:21" s="121" customFormat="1" ht="17.25" customHeight="1">
      <c r="E48" s="11"/>
      <c r="F48" s="11"/>
      <c r="G48" s="11"/>
      <c r="H48" s="11"/>
      <c r="I48" s="128"/>
      <c r="J48" s="11"/>
      <c r="K48" s="11"/>
      <c r="L48" s="11"/>
      <c r="M48" s="125"/>
      <c r="N48" s="125"/>
      <c r="O48" s="11"/>
      <c r="P48" s="125"/>
      <c r="Q48" s="11"/>
      <c r="R48" s="125"/>
      <c r="S48" s="125"/>
      <c r="T48" s="125"/>
      <c r="U48" s="125"/>
    </row>
    <row r="49" spans="5:21" s="121" customFormat="1" ht="17.25" customHeight="1">
      <c r="E49" s="11"/>
      <c r="F49" s="11"/>
      <c r="G49" s="11"/>
      <c r="H49" s="11"/>
      <c r="I49" s="128"/>
      <c r="J49" s="11"/>
      <c r="K49" s="11"/>
      <c r="L49" s="11"/>
      <c r="M49" s="125"/>
      <c r="N49" s="125"/>
      <c r="O49" s="11"/>
      <c r="P49" s="125"/>
      <c r="Q49" s="11"/>
      <c r="R49" s="125"/>
      <c r="S49" s="125"/>
      <c r="T49" s="125"/>
      <c r="U49" s="125"/>
    </row>
    <row r="50" spans="5:21" s="121" customFormat="1" ht="17.25" customHeight="1">
      <c r="E50" s="11"/>
      <c r="F50" s="11"/>
      <c r="G50" s="11"/>
      <c r="H50" s="11"/>
      <c r="I50" s="128"/>
      <c r="J50" s="11"/>
      <c r="K50" s="11"/>
      <c r="L50" s="11"/>
      <c r="M50" s="125"/>
      <c r="N50" s="125"/>
      <c r="O50" s="11"/>
      <c r="P50" s="125"/>
      <c r="Q50" s="11"/>
      <c r="R50" s="125"/>
      <c r="S50" s="125"/>
      <c r="T50" s="125"/>
      <c r="U50" s="125"/>
    </row>
    <row r="51" spans="5:21" s="121" customFormat="1" ht="17.25" customHeight="1">
      <c r="E51" s="11"/>
      <c r="F51" s="11"/>
      <c r="G51" s="11"/>
      <c r="H51" s="11"/>
      <c r="I51" s="128"/>
      <c r="J51" s="11"/>
      <c r="K51" s="11"/>
      <c r="L51" s="11"/>
      <c r="M51" s="125"/>
      <c r="N51" s="125"/>
      <c r="O51" s="11"/>
      <c r="P51" s="125"/>
      <c r="Q51" s="11"/>
      <c r="R51" s="125"/>
      <c r="S51" s="125"/>
      <c r="T51" s="125"/>
      <c r="U51" s="125"/>
    </row>
    <row r="52" spans="5:21" s="121" customFormat="1" ht="17.25" customHeight="1">
      <c r="E52" s="11"/>
      <c r="F52" s="11"/>
      <c r="G52" s="11"/>
      <c r="H52" s="11"/>
      <c r="I52" s="128"/>
      <c r="J52" s="11"/>
      <c r="K52" s="11"/>
      <c r="L52" s="11"/>
      <c r="M52" s="125"/>
      <c r="N52" s="125"/>
      <c r="O52" s="11"/>
      <c r="P52" s="125"/>
      <c r="Q52" s="11"/>
      <c r="R52" s="125"/>
      <c r="S52" s="125"/>
      <c r="T52" s="125"/>
      <c r="U52" s="125"/>
    </row>
    <row r="53" spans="5:21" s="121" customFormat="1" ht="17.25" customHeight="1">
      <c r="E53" s="11"/>
      <c r="F53" s="11"/>
      <c r="G53" s="11"/>
      <c r="H53" s="11"/>
      <c r="I53" s="128"/>
      <c r="J53" s="11"/>
      <c r="K53" s="11"/>
      <c r="L53" s="11"/>
      <c r="M53" s="125"/>
      <c r="N53" s="125"/>
      <c r="O53" s="11"/>
      <c r="P53" s="125"/>
      <c r="Q53" s="11"/>
      <c r="R53" s="125"/>
      <c r="S53" s="125"/>
      <c r="T53" s="125"/>
      <c r="U53" s="125"/>
    </row>
    <row r="54" spans="5:21" s="121" customFormat="1" ht="17.25" customHeight="1">
      <c r="E54" s="11"/>
      <c r="F54" s="11"/>
      <c r="G54" s="11"/>
      <c r="H54" s="11"/>
      <c r="I54" s="128"/>
      <c r="J54" s="11"/>
      <c r="K54" s="11"/>
      <c r="L54" s="11"/>
      <c r="M54" s="125"/>
      <c r="N54" s="125"/>
      <c r="O54" s="11"/>
      <c r="P54" s="125"/>
      <c r="Q54" s="11"/>
      <c r="R54" s="125"/>
      <c r="S54" s="125"/>
      <c r="T54" s="125"/>
      <c r="U54" s="125"/>
    </row>
    <row r="55" spans="5:21" s="121" customFormat="1" ht="17.25" customHeight="1">
      <c r="E55" s="11"/>
      <c r="F55" s="11"/>
      <c r="G55" s="11"/>
      <c r="H55" s="11"/>
      <c r="I55" s="128"/>
      <c r="J55" s="11"/>
      <c r="K55" s="11"/>
      <c r="L55" s="11"/>
      <c r="M55" s="125"/>
      <c r="N55" s="125"/>
      <c r="O55" s="11"/>
      <c r="P55" s="125"/>
      <c r="Q55" s="11"/>
      <c r="R55" s="125"/>
      <c r="S55" s="125"/>
      <c r="T55" s="125"/>
      <c r="U55" s="125"/>
    </row>
    <row r="56" spans="5:21" s="121" customFormat="1" ht="17.25" customHeight="1">
      <c r="E56" s="11"/>
      <c r="F56" s="11"/>
      <c r="G56" s="11"/>
      <c r="H56" s="11"/>
      <c r="I56" s="128"/>
      <c r="J56" s="11"/>
      <c r="K56" s="11"/>
      <c r="L56" s="11"/>
      <c r="M56" s="125"/>
      <c r="N56" s="125"/>
      <c r="O56" s="11"/>
      <c r="P56" s="125"/>
      <c r="Q56" s="11"/>
      <c r="R56" s="125"/>
      <c r="S56" s="125"/>
      <c r="T56" s="125"/>
      <c r="U56" s="125"/>
    </row>
    <row r="57" spans="5:21" s="121" customFormat="1" ht="17.25" customHeight="1">
      <c r="E57" s="11"/>
      <c r="F57" s="11"/>
      <c r="G57" s="11"/>
      <c r="H57" s="11"/>
      <c r="I57" s="128"/>
      <c r="J57" s="11"/>
      <c r="K57" s="11"/>
      <c r="L57" s="11"/>
      <c r="M57" s="125"/>
      <c r="N57" s="125"/>
      <c r="O57" s="11"/>
      <c r="P57" s="125"/>
      <c r="Q57" s="11"/>
      <c r="R57" s="125"/>
      <c r="S57" s="125"/>
      <c r="T57" s="125"/>
      <c r="U57" s="125"/>
    </row>
    <row r="58" spans="5:21" s="121" customFormat="1" ht="17.25" customHeight="1">
      <c r="E58" s="11"/>
      <c r="F58" s="11"/>
      <c r="G58" s="11"/>
      <c r="H58" s="11"/>
      <c r="I58" s="128"/>
      <c r="J58" s="11"/>
      <c r="K58" s="11"/>
      <c r="L58" s="11"/>
      <c r="M58" s="125"/>
      <c r="N58" s="125"/>
      <c r="O58" s="11"/>
      <c r="P58" s="125"/>
      <c r="Q58" s="11"/>
      <c r="R58" s="125"/>
      <c r="S58" s="125"/>
      <c r="T58" s="125"/>
      <c r="U58" s="125"/>
    </row>
    <row r="59" spans="5:21" s="121" customFormat="1" ht="17.25" customHeight="1">
      <c r="E59" s="11"/>
      <c r="F59" s="11"/>
      <c r="G59" s="11"/>
      <c r="H59" s="11"/>
      <c r="I59" s="128"/>
      <c r="J59" s="11"/>
      <c r="K59" s="11"/>
      <c r="L59" s="11"/>
      <c r="M59" s="125"/>
      <c r="N59" s="125"/>
      <c r="O59" s="11"/>
      <c r="P59" s="125"/>
      <c r="Q59" s="11"/>
      <c r="R59" s="125"/>
      <c r="S59" s="125"/>
      <c r="T59" s="125"/>
      <c r="U59" s="125"/>
    </row>
    <row r="60" spans="5:21" s="121" customFormat="1" ht="17.25" customHeight="1">
      <c r="E60" s="11"/>
      <c r="F60" s="11"/>
      <c r="G60" s="11"/>
      <c r="H60" s="11"/>
      <c r="I60" s="128"/>
      <c r="J60" s="11"/>
      <c r="K60" s="11"/>
      <c r="L60" s="11"/>
      <c r="M60" s="125"/>
      <c r="N60" s="125"/>
      <c r="O60" s="11"/>
      <c r="P60" s="125"/>
      <c r="Q60" s="11"/>
      <c r="R60" s="125"/>
      <c r="S60" s="125"/>
      <c r="T60" s="125"/>
      <c r="U60" s="125"/>
    </row>
    <row r="61" spans="5:21" s="121" customFormat="1" ht="17.25" customHeight="1">
      <c r="E61" s="11"/>
      <c r="F61" s="11"/>
      <c r="G61" s="11"/>
      <c r="H61" s="11"/>
      <c r="I61" s="128"/>
      <c r="J61" s="11"/>
      <c r="K61" s="11"/>
      <c r="L61" s="11"/>
      <c r="M61" s="125"/>
      <c r="N61" s="125"/>
      <c r="O61" s="11"/>
      <c r="P61" s="125"/>
      <c r="Q61" s="11"/>
      <c r="R61" s="125"/>
      <c r="S61" s="125"/>
      <c r="T61" s="125"/>
      <c r="U61" s="125"/>
    </row>
    <row r="62" spans="5:21" s="121" customFormat="1" ht="17.25" customHeight="1">
      <c r="E62" s="11"/>
      <c r="F62" s="11"/>
      <c r="G62" s="11"/>
      <c r="H62" s="11"/>
      <c r="I62" s="128"/>
      <c r="J62" s="11"/>
      <c r="K62" s="11"/>
      <c r="L62" s="11"/>
      <c r="M62" s="125"/>
      <c r="N62" s="125"/>
      <c r="O62" s="11"/>
      <c r="P62" s="125"/>
      <c r="Q62" s="11"/>
      <c r="R62" s="125"/>
      <c r="S62" s="125"/>
      <c r="T62" s="125"/>
      <c r="U62" s="125"/>
    </row>
    <row r="63" spans="5:21" s="121" customFormat="1" ht="17.25" customHeight="1">
      <c r="E63" s="11"/>
      <c r="F63" s="11"/>
      <c r="G63" s="11"/>
      <c r="H63" s="11"/>
      <c r="I63" s="128"/>
      <c r="J63" s="11"/>
      <c r="K63" s="11"/>
      <c r="L63" s="11"/>
      <c r="M63" s="125"/>
      <c r="N63" s="125"/>
      <c r="O63" s="11"/>
      <c r="P63" s="125"/>
      <c r="Q63" s="11"/>
      <c r="R63" s="125"/>
      <c r="S63" s="125"/>
      <c r="T63" s="125"/>
      <c r="U63" s="125"/>
    </row>
    <row r="64" spans="5:21" s="121" customFormat="1" ht="17.25" customHeight="1">
      <c r="E64" s="11"/>
      <c r="F64" s="11"/>
      <c r="G64" s="11"/>
      <c r="H64" s="11"/>
      <c r="I64" s="128"/>
      <c r="J64" s="11"/>
      <c r="K64" s="11"/>
      <c r="L64" s="11"/>
      <c r="M64" s="125"/>
      <c r="N64" s="125"/>
      <c r="O64" s="11"/>
      <c r="P64" s="125"/>
      <c r="Q64" s="11"/>
      <c r="R64" s="125"/>
      <c r="S64" s="125"/>
      <c r="T64" s="125"/>
      <c r="U64" s="125"/>
    </row>
    <row r="65" spans="5:21" s="121" customFormat="1" ht="17.25" customHeight="1">
      <c r="E65" s="11"/>
      <c r="F65" s="11"/>
      <c r="G65" s="11"/>
      <c r="H65" s="11"/>
      <c r="I65" s="128"/>
      <c r="J65" s="11"/>
      <c r="K65" s="11"/>
      <c r="L65" s="11"/>
      <c r="M65" s="125"/>
      <c r="N65" s="125"/>
      <c r="O65" s="11"/>
      <c r="P65" s="125"/>
      <c r="Q65" s="11"/>
      <c r="R65" s="125"/>
      <c r="S65" s="125"/>
      <c r="T65" s="125"/>
      <c r="U65" s="125"/>
    </row>
    <row r="66" spans="5:21" s="121" customFormat="1" ht="17.25" customHeight="1">
      <c r="E66" s="11"/>
      <c r="F66" s="11"/>
      <c r="G66" s="11"/>
      <c r="H66" s="11"/>
      <c r="I66" s="128"/>
      <c r="J66" s="11"/>
      <c r="K66" s="11"/>
      <c r="L66" s="11"/>
      <c r="M66" s="125"/>
      <c r="N66" s="125"/>
      <c r="O66" s="11"/>
      <c r="P66" s="125"/>
      <c r="Q66" s="11"/>
      <c r="R66" s="125"/>
      <c r="S66" s="125"/>
      <c r="T66" s="125"/>
      <c r="U66" s="125"/>
    </row>
    <row r="67" spans="5:21" s="121" customFormat="1" ht="17.25" customHeight="1">
      <c r="E67" s="11"/>
      <c r="F67" s="11"/>
      <c r="G67" s="11"/>
      <c r="H67" s="11"/>
      <c r="I67" s="128"/>
      <c r="J67" s="11"/>
      <c r="K67" s="11"/>
      <c r="L67" s="11"/>
      <c r="M67" s="125"/>
      <c r="N67" s="125"/>
      <c r="O67" s="11"/>
      <c r="P67" s="125"/>
      <c r="Q67" s="11"/>
      <c r="R67" s="125"/>
      <c r="S67" s="125"/>
      <c r="T67" s="125"/>
      <c r="U67" s="125"/>
    </row>
    <row r="68" spans="5:21" s="121" customFormat="1" ht="17.25" customHeight="1">
      <c r="E68" s="11"/>
      <c r="F68" s="11"/>
      <c r="G68" s="11"/>
      <c r="H68" s="11"/>
      <c r="I68" s="128"/>
      <c r="J68" s="11"/>
      <c r="K68" s="11"/>
      <c r="L68" s="11"/>
      <c r="M68" s="125"/>
      <c r="N68" s="125"/>
      <c r="O68" s="11"/>
      <c r="P68" s="125"/>
      <c r="Q68" s="11"/>
      <c r="R68" s="125"/>
      <c r="S68" s="125"/>
      <c r="T68" s="125"/>
      <c r="U68" s="125"/>
    </row>
    <row r="69" spans="5:21" s="121" customFormat="1" ht="17.25" customHeight="1">
      <c r="E69" s="11"/>
      <c r="F69" s="11"/>
      <c r="G69" s="11"/>
      <c r="H69" s="11"/>
      <c r="I69" s="128"/>
      <c r="J69" s="11"/>
      <c r="K69" s="11"/>
      <c r="L69" s="11"/>
      <c r="M69" s="125"/>
      <c r="N69" s="125"/>
      <c r="O69" s="11"/>
      <c r="P69" s="125"/>
      <c r="Q69" s="11"/>
      <c r="R69" s="125"/>
      <c r="S69" s="125"/>
      <c r="T69" s="125"/>
      <c r="U69" s="125"/>
    </row>
    <row r="70" spans="5:21" s="121" customFormat="1" ht="17.25" customHeight="1">
      <c r="E70" s="11"/>
      <c r="F70" s="11"/>
      <c r="G70" s="11"/>
      <c r="H70" s="11"/>
      <c r="I70" s="128"/>
      <c r="J70" s="11"/>
      <c r="K70" s="11"/>
      <c r="L70" s="11"/>
      <c r="M70" s="125"/>
      <c r="N70" s="125"/>
      <c r="O70" s="11"/>
      <c r="P70" s="125"/>
      <c r="Q70" s="11"/>
      <c r="R70" s="125"/>
      <c r="S70" s="125"/>
      <c r="T70" s="125"/>
      <c r="U70" s="125"/>
    </row>
    <row r="71" spans="5:21" s="121" customFormat="1" ht="17.25" customHeight="1">
      <c r="E71" s="11"/>
      <c r="F71" s="11"/>
      <c r="G71" s="11"/>
      <c r="H71" s="11"/>
      <c r="I71" s="128"/>
      <c r="J71" s="11"/>
      <c r="K71" s="11"/>
      <c r="L71" s="11"/>
      <c r="M71" s="125"/>
      <c r="N71" s="125"/>
      <c r="O71" s="11"/>
      <c r="P71" s="125"/>
      <c r="Q71" s="11"/>
      <c r="R71" s="125"/>
      <c r="S71" s="125"/>
      <c r="T71" s="125"/>
      <c r="U71" s="125"/>
    </row>
    <row r="72" spans="5:21" s="121" customFormat="1" ht="17.25" customHeight="1">
      <c r="E72" s="11"/>
      <c r="F72" s="11"/>
      <c r="G72" s="11"/>
      <c r="H72" s="11"/>
      <c r="I72" s="128"/>
      <c r="J72" s="11"/>
      <c r="K72" s="11"/>
      <c r="L72" s="11"/>
      <c r="M72" s="125"/>
      <c r="N72" s="125"/>
      <c r="O72" s="11"/>
      <c r="P72" s="125"/>
      <c r="Q72" s="11"/>
      <c r="R72" s="125"/>
      <c r="S72" s="125"/>
      <c r="T72" s="125"/>
      <c r="U72" s="125"/>
    </row>
    <row r="73" spans="5:21" s="121" customFormat="1" ht="17.25" customHeight="1">
      <c r="E73" s="11"/>
      <c r="F73" s="11"/>
      <c r="G73" s="11"/>
      <c r="H73" s="11"/>
      <c r="I73" s="128"/>
      <c r="J73" s="11"/>
      <c r="K73" s="11"/>
      <c r="L73" s="11"/>
      <c r="M73" s="125"/>
      <c r="N73" s="125"/>
      <c r="O73" s="11"/>
      <c r="P73" s="125"/>
      <c r="Q73" s="11"/>
      <c r="R73" s="125"/>
      <c r="S73" s="125"/>
      <c r="T73" s="125"/>
      <c r="U73" s="125"/>
    </row>
    <row r="74" spans="5:21" s="121" customFormat="1" ht="17.25" customHeight="1">
      <c r="E74" s="11"/>
      <c r="F74" s="11"/>
      <c r="G74" s="11"/>
      <c r="H74" s="11"/>
      <c r="I74" s="128"/>
      <c r="J74" s="11"/>
      <c r="K74" s="11"/>
      <c r="L74" s="11"/>
      <c r="M74" s="125"/>
      <c r="N74" s="125"/>
      <c r="O74" s="11"/>
      <c r="P74" s="125"/>
      <c r="Q74" s="11"/>
      <c r="R74" s="125"/>
      <c r="S74" s="125"/>
      <c r="T74" s="125"/>
      <c r="U74" s="125"/>
    </row>
    <row r="75" spans="5:21" s="121" customFormat="1" ht="17.25" customHeight="1">
      <c r="E75" s="11"/>
      <c r="F75" s="11"/>
      <c r="G75" s="11"/>
      <c r="H75" s="11"/>
      <c r="I75" s="128"/>
      <c r="J75" s="11"/>
      <c r="K75" s="11"/>
      <c r="L75" s="11"/>
      <c r="M75" s="125"/>
      <c r="N75" s="125"/>
      <c r="O75" s="11"/>
      <c r="P75" s="125"/>
      <c r="Q75" s="11"/>
      <c r="R75" s="125"/>
      <c r="S75" s="125"/>
      <c r="T75" s="125"/>
      <c r="U75" s="125"/>
    </row>
    <row r="76" spans="5:21" s="121" customFormat="1" ht="17.25" customHeight="1">
      <c r="E76" s="11"/>
      <c r="F76" s="11"/>
      <c r="G76" s="11"/>
      <c r="H76" s="11"/>
      <c r="I76" s="128"/>
      <c r="J76" s="11"/>
      <c r="K76" s="11"/>
      <c r="L76" s="11"/>
      <c r="M76" s="125"/>
      <c r="N76" s="125"/>
      <c r="O76" s="11"/>
      <c r="P76" s="125"/>
      <c r="Q76" s="11"/>
      <c r="R76" s="125"/>
      <c r="S76" s="125"/>
      <c r="T76" s="125"/>
      <c r="U76" s="125"/>
    </row>
    <row r="77" spans="5:21" s="121" customFormat="1" ht="17.25" customHeight="1">
      <c r="E77" s="11"/>
      <c r="F77" s="11"/>
      <c r="G77" s="11"/>
      <c r="H77" s="11"/>
      <c r="I77" s="128"/>
      <c r="J77" s="11"/>
      <c r="K77" s="11"/>
      <c r="L77" s="11"/>
      <c r="M77" s="125"/>
      <c r="N77" s="125"/>
      <c r="O77" s="11"/>
      <c r="P77" s="125"/>
      <c r="Q77" s="11"/>
      <c r="R77" s="125"/>
      <c r="S77" s="125"/>
      <c r="T77" s="125"/>
      <c r="U77" s="125"/>
    </row>
    <row r="78" spans="5:21" s="121" customFormat="1" ht="17.25" customHeight="1">
      <c r="E78" s="11"/>
      <c r="F78" s="11"/>
      <c r="G78" s="11"/>
      <c r="H78" s="11"/>
      <c r="I78" s="128"/>
      <c r="J78" s="11"/>
      <c r="K78" s="11"/>
      <c r="L78" s="11"/>
      <c r="M78" s="125"/>
      <c r="N78" s="125"/>
      <c r="O78" s="11"/>
      <c r="P78" s="125"/>
      <c r="Q78" s="11"/>
      <c r="R78" s="125"/>
      <c r="S78" s="125"/>
      <c r="T78" s="125"/>
      <c r="U78" s="125"/>
    </row>
    <row r="79" spans="5:21" s="121" customFormat="1" ht="17.25" customHeight="1">
      <c r="E79" s="11"/>
      <c r="F79" s="11"/>
      <c r="G79" s="11"/>
      <c r="H79" s="11"/>
      <c r="I79" s="128"/>
      <c r="J79" s="11"/>
      <c r="K79" s="11"/>
      <c r="L79" s="11"/>
      <c r="M79" s="125"/>
      <c r="N79" s="125"/>
      <c r="O79" s="11"/>
      <c r="P79" s="125"/>
      <c r="Q79" s="11"/>
      <c r="R79" s="125"/>
      <c r="S79" s="125"/>
      <c r="T79" s="125"/>
      <c r="U79" s="125"/>
    </row>
    <row r="80" spans="5:21" s="121" customFormat="1" ht="17.25" customHeight="1">
      <c r="E80" s="11"/>
      <c r="F80" s="11"/>
      <c r="G80" s="11"/>
      <c r="H80" s="11"/>
      <c r="I80" s="128"/>
      <c r="J80" s="11"/>
      <c r="K80" s="11"/>
      <c r="L80" s="11"/>
      <c r="M80" s="125"/>
      <c r="N80" s="125"/>
      <c r="O80" s="11"/>
      <c r="P80" s="125"/>
      <c r="Q80" s="11"/>
      <c r="R80" s="125"/>
      <c r="S80" s="125"/>
      <c r="T80" s="125"/>
      <c r="U80" s="125"/>
    </row>
    <row r="81" spans="5:21" s="121" customFormat="1" ht="17.25" customHeight="1">
      <c r="E81" s="11"/>
      <c r="F81" s="11"/>
      <c r="G81" s="11"/>
      <c r="H81" s="11"/>
      <c r="I81" s="128"/>
      <c r="J81" s="11"/>
      <c r="K81" s="11"/>
      <c r="L81" s="11"/>
      <c r="M81" s="125"/>
      <c r="N81" s="125"/>
      <c r="O81" s="11"/>
      <c r="P81" s="125"/>
      <c r="Q81" s="11"/>
      <c r="R81" s="125"/>
      <c r="S81" s="125"/>
      <c r="T81" s="125"/>
      <c r="U81" s="125"/>
    </row>
    <row r="82" spans="5:21" s="121" customFormat="1" ht="17.25" customHeight="1">
      <c r="E82" s="11"/>
      <c r="F82" s="11"/>
      <c r="G82" s="11"/>
      <c r="H82" s="11"/>
      <c r="I82" s="128"/>
      <c r="J82" s="11"/>
      <c r="K82" s="11"/>
      <c r="L82" s="11"/>
      <c r="M82" s="125"/>
      <c r="N82" s="125"/>
      <c r="O82" s="11"/>
      <c r="P82" s="125"/>
      <c r="Q82" s="11"/>
      <c r="R82" s="125"/>
      <c r="S82" s="125"/>
      <c r="T82" s="125"/>
      <c r="U82" s="125"/>
    </row>
    <row r="83" spans="5:21" s="121" customFormat="1" ht="17.25" customHeight="1">
      <c r="E83" s="11"/>
      <c r="F83" s="11"/>
      <c r="G83" s="11"/>
      <c r="H83" s="11"/>
      <c r="I83" s="128"/>
      <c r="J83" s="11"/>
      <c r="K83" s="11"/>
      <c r="L83" s="11"/>
      <c r="M83" s="125"/>
      <c r="N83" s="125"/>
      <c r="O83" s="11"/>
      <c r="P83" s="125"/>
      <c r="Q83" s="11"/>
      <c r="R83" s="125"/>
      <c r="S83" s="125"/>
      <c r="T83" s="125"/>
      <c r="U83" s="125"/>
    </row>
    <row r="84" spans="5:21" s="121" customFormat="1" ht="17.25" customHeight="1">
      <c r="E84" s="11"/>
      <c r="F84" s="11"/>
      <c r="G84" s="11"/>
      <c r="H84" s="11"/>
      <c r="I84" s="128"/>
      <c r="J84" s="11"/>
      <c r="K84" s="11"/>
      <c r="L84" s="11"/>
      <c r="M84" s="125"/>
      <c r="N84" s="125"/>
      <c r="O84" s="11"/>
      <c r="P84" s="125"/>
      <c r="Q84" s="11"/>
      <c r="R84" s="125"/>
      <c r="S84" s="125"/>
      <c r="T84" s="125"/>
      <c r="U84" s="125"/>
    </row>
    <row r="85" spans="5:21" s="121" customFormat="1" ht="17.25" customHeight="1">
      <c r="E85" s="11"/>
      <c r="F85" s="11"/>
      <c r="G85" s="11"/>
      <c r="H85" s="11"/>
      <c r="I85" s="128"/>
      <c r="J85" s="11"/>
      <c r="K85" s="11"/>
      <c r="L85" s="11"/>
      <c r="M85" s="125"/>
      <c r="N85" s="125"/>
      <c r="O85" s="11"/>
      <c r="P85" s="125"/>
      <c r="Q85" s="11"/>
      <c r="R85" s="125"/>
      <c r="S85" s="125"/>
      <c r="T85" s="125"/>
      <c r="U85" s="125"/>
    </row>
    <row r="86" spans="5:21" s="121" customFormat="1" ht="17.25" customHeight="1">
      <c r="E86" s="11"/>
      <c r="F86" s="11"/>
      <c r="G86" s="11"/>
      <c r="H86" s="11"/>
      <c r="I86" s="128"/>
      <c r="J86" s="11"/>
      <c r="K86" s="11"/>
      <c r="L86" s="11"/>
      <c r="M86" s="125"/>
      <c r="N86" s="125"/>
      <c r="O86" s="11"/>
      <c r="P86" s="125"/>
      <c r="Q86" s="11"/>
      <c r="R86" s="125"/>
      <c r="S86" s="125"/>
      <c r="T86" s="125"/>
      <c r="U86" s="125"/>
    </row>
    <row r="87" spans="5:21" s="121" customFormat="1" ht="17.25" customHeight="1">
      <c r="E87" s="11"/>
      <c r="F87" s="11"/>
      <c r="G87" s="11"/>
      <c r="H87" s="11"/>
      <c r="I87" s="128"/>
      <c r="J87" s="11"/>
      <c r="K87" s="11"/>
      <c r="L87" s="11"/>
      <c r="M87" s="125"/>
      <c r="N87" s="125"/>
      <c r="O87" s="11"/>
      <c r="P87" s="125"/>
      <c r="Q87" s="11"/>
      <c r="R87" s="125"/>
      <c r="S87" s="125"/>
      <c r="T87" s="125"/>
      <c r="U87" s="125"/>
    </row>
    <row r="88" spans="5:21" s="121" customFormat="1" ht="17.25" customHeight="1">
      <c r="E88" s="11"/>
      <c r="F88" s="11"/>
      <c r="G88" s="11"/>
      <c r="H88" s="11"/>
      <c r="I88" s="128"/>
      <c r="J88" s="11"/>
      <c r="K88" s="11"/>
      <c r="L88" s="11"/>
      <c r="M88" s="125"/>
      <c r="N88" s="125"/>
      <c r="O88" s="11"/>
      <c r="P88" s="125"/>
      <c r="Q88" s="11"/>
      <c r="R88" s="125"/>
      <c r="S88" s="125"/>
      <c r="T88" s="125"/>
      <c r="U88" s="125"/>
    </row>
    <row r="89" spans="5:21" s="121" customFormat="1" ht="17.25" customHeight="1">
      <c r="E89" s="11"/>
      <c r="F89" s="11"/>
      <c r="G89" s="11"/>
      <c r="H89" s="11"/>
      <c r="I89" s="128"/>
      <c r="J89" s="11"/>
      <c r="K89" s="11"/>
      <c r="L89" s="11"/>
      <c r="M89" s="125"/>
      <c r="N89" s="125"/>
      <c r="O89" s="11"/>
      <c r="P89" s="125"/>
      <c r="Q89" s="11"/>
      <c r="R89" s="125"/>
      <c r="S89" s="125"/>
      <c r="T89" s="125"/>
      <c r="U89" s="125"/>
    </row>
    <row r="90" spans="5:21" s="121" customFormat="1" ht="17.25" customHeight="1">
      <c r="E90" s="11"/>
      <c r="F90" s="11"/>
      <c r="G90" s="11"/>
      <c r="H90" s="11"/>
      <c r="I90" s="128"/>
      <c r="J90" s="11"/>
      <c r="K90" s="11"/>
      <c r="L90" s="11"/>
      <c r="M90" s="125"/>
      <c r="N90" s="125"/>
      <c r="O90" s="11"/>
      <c r="P90" s="125"/>
      <c r="Q90" s="11"/>
      <c r="R90" s="125"/>
      <c r="S90" s="125"/>
      <c r="T90" s="125"/>
      <c r="U90" s="125"/>
    </row>
    <row r="91" spans="5:21" s="121" customFormat="1" ht="17.25" customHeight="1">
      <c r="E91" s="11"/>
      <c r="F91" s="11"/>
      <c r="G91" s="11"/>
      <c r="H91" s="11"/>
      <c r="I91" s="128"/>
      <c r="J91" s="11"/>
      <c r="K91" s="11"/>
      <c r="L91" s="11"/>
      <c r="M91" s="125"/>
      <c r="N91" s="125"/>
      <c r="O91" s="11"/>
      <c r="P91" s="125"/>
      <c r="Q91" s="11"/>
      <c r="R91" s="125"/>
      <c r="S91" s="125"/>
      <c r="T91" s="125"/>
      <c r="U91" s="125"/>
    </row>
    <row r="92" spans="5:21" s="121" customFormat="1" ht="17.25" customHeight="1">
      <c r="E92" s="11"/>
      <c r="F92" s="11"/>
      <c r="G92" s="11"/>
      <c r="H92" s="11"/>
      <c r="I92" s="128"/>
      <c r="J92" s="11"/>
      <c r="K92" s="11"/>
      <c r="L92" s="11"/>
      <c r="M92" s="125"/>
      <c r="N92" s="125"/>
      <c r="O92" s="11"/>
      <c r="P92" s="125"/>
      <c r="Q92" s="11"/>
      <c r="R92" s="125"/>
      <c r="S92" s="125"/>
      <c r="T92" s="125"/>
      <c r="U92" s="125"/>
    </row>
    <row r="93" spans="5:21" s="121" customFormat="1" ht="17.25" customHeight="1">
      <c r="E93" s="11"/>
      <c r="F93" s="11"/>
      <c r="G93" s="11"/>
      <c r="H93" s="11"/>
      <c r="I93" s="128"/>
      <c r="J93" s="11"/>
      <c r="K93" s="11"/>
      <c r="L93" s="11"/>
      <c r="M93" s="125"/>
      <c r="N93" s="125"/>
      <c r="O93" s="11"/>
      <c r="P93" s="125"/>
      <c r="Q93" s="11"/>
      <c r="R93" s="125"/>
      <c r="S93" s="125"/>
      <c r="T93" s="125"/>
      <c r="U93" s="125"/>
    </row>
    <row r="94" spans="5:21" s="121" customFormat="1" ht="17.25" customHeight="1">
      <c r="E94" s="11"/>
      <c r="F94" s="11"/>
      <c r="G94" s="11"/>
      <c r="H94" s="11"/>
      <c r="I94" s="128"/>
      <c r="J94" s="11"/>
      <c r="K94" s="11"/>
      <c r="L94" s="11"/>
      <c r="M94" s="125"/>
      <c r="N94" s="125"/>
      <c r="O94" s="11"/>
      <c r="P94" s="125"/>
      <c r="Q94" s="11"/>
      <c r="R94" s="125"/>
      <c r="S94" s="125"/>
      <c r="T94" s="125"/>
      <c r="U94" s="125"/>
    </row>
    <row r="95" spans="5:21" s="121" customFormat="1" ht="17.25" customHeight="1">
      <c r="E95" s="11"/>
      <c r="F95" s="11"/>
      <c r="G95" s="11"/>
      <c r="H95" s="11"/>
      <c r="I95" s="128"/>
      <c r="J95" s="11"/>
      <c r="K95" s="11"/>
      <c r="L95" s="11"/>
      <c r="M95" s="125"/>
      <c r="N95" s="125"/>
      <c r="O95" s="11"/>
      <c r="P95" s="125"/>
      <c r="Q95" s="11"/>
      <c r="R95" s="125"/>
      <c r="S95" s="125"/>
      <c r="T95" s="125"/>
      <c r="U95" s="125"/>
    </row>
    <row r="96" spans="5:21" s="121" customFormat="1" ht="17.25" customHeight="1">
      <c r="E96" s="11"/>
      <c r="F96" s="11"/>
      <c r="G96" s="11"/>
      <c r="H96" s="11"/>
      <c r="I96" s="128"/>
      <c r="J96" s="11"/>
      <c r="K96" s="11"/>
      <c r="L96" s="11"/>
      <c r="M96" s="125"/>
      <c r="N96" s="125"/>
      <c r="O96" s="11"/>
      <c r="P96" s="125"/>
      <c r="Q96" s="11"/>
      <c r="R96" s="125"/>
      <c r="S96" s="125"/>
      <c r="T96" s="125"/>
      <c r="U96" s="125"/>
    </row>
    <row r="97" spans="5:21" s="121" customFormat="1" ht="17.25" customHeight="1">
      <c r="E97" s="11"/>
      <c r="F97" s="11"/>
      <c r="G97" s="11"/>
      <c r="H97" s="11"/>
      <c r="I97" s="128"/>
      <c r="J97" s="11"/>
      <c r="K97" s="11"/>
      <c r="L97" s="11"/>
      <c r="M97" s="125"/>
      <c r="N97" s="125"/>
      <c r="O97" s="11"/>
      <c r="P97" s="125"/>
      <c r="Q97" s="11"/>
      <c r="R97" s="125"/>
      <c r="S97" s="125"/>
      <c r="T97" s="125"/>
      <c r="U97" s="125"/>
    </row>
    <row r="98" spans="5:21" s="121" customFormat="1" ht="17.25" customHeight="1">
      <c r="E98" s="11"/>
      <c r="F98" s="11"/>
      <c r="G98" s="11"/>
      <c r="H98" s="11"/>
      <c r="I98" s="128"/>
      <c r="J98" s="11"/>
      <c r="K98" s="11"/>
      <c r="L98" s="11"/>
      <c r="M98" s="125"/>
      <c r="N98" s="125"/>
      <c r="O98" s="11"/>
      <c r="P98" s="125"/>
      <c r="Q98" s="11"/>
      <c r="R98" s="125"/>
      <c r="S98" s="125"/>
      <c r="T98" s="125"/>
      <c r="U98" s="125"/>
    </row>
    <row r="99" spans="5:21" s="121" customFormat="1" ht="17.25" customHeight="1">
      <c r="E99" s="11"/>
      <c r="F99" s="11"/>
      <c r="G99" s="11"/>
      <c r="H99" s="11"/>
      <c r="I99" s="128"/>
      <c r="J99" s="11"/>
      <c r="K99" s="11"/>
      <c r="L99" s="11"/>
      <c r="M99" s="125"/>
      <c r="N99" s="125"/>
      <c r="O99" s="11"/>
      <c r="P99" s="125"/>
      <c r="Q99" s="11"/>
      <c r="R99" s="125"/>
      <c r="S99" s="125"/>
      <c r="T99" s="125"/>
      <c r="U99" s="125"/>
    </row>
    <row r="100" spans="5:21" s="121" customFormat="1" ht="17.25" customHeight="1">
      <c r="E100" s="11"/>
      <c r="F100" s="11"/>
      <c r="G100" s="11"/>
      <c r="H100" s="11"/>
      <c r="I100" s="128"/>
      <c r="J100" s="11"/>
      <c r="K100" s="11"/>
      <c r="L100" s="11"/>
      <c r="M100" s="125"/>
      <c r="N100" s="125"/>
      <c r="O100" s="11"/>
      <c r="P100" s="125"/>
      <c r="Q100" s="11"/>
      <c r="R100" s="125"/>
      <c r="S100" s="125"/>
      <c r="T100" s="125"/>
      <c r="U100" s="125"/>
    </row>
    <row r="101" spans="5:21" s="121" customFormat="1" ht="17.25" customHeight="1">
      <c r="E101" s="11"/>
      <c r="F101" s="11"/>
      <c r="G101" s="11"/>
      <c r="H101" s="11"/>
      <c r="I101" s="128"/>
      <c r="J101" s="11"/>
      <c r="K101" s="11"/>
      <c r="L101" s="11"/>
      <c r="M101" s="125"/>
      <c r="N101" s="125"/>
      <c r="O101" s="11"/>
      <c r="P101" s="125"/>
      <c r="Q101" s="11"/>
      <c r="R101" s="125"/>
      <c r="S101" s="125"/>
      <c r="T101" s="125"/>
      <c r="U101" s="125"/>
    </row>
    <row r="102" spans="5:21" s="121" customFormat="1" ht="17.25" customHeight="1">
      <c r="E102" s="11"/>
      <c r="F102" s="11"/>
      <c r="G102" s="11"/>
      <c r="H102" s="11"/>
      <c r="I102" s="128"/>
      <c r="J102" s="11"/>
      <c r="K102" s="11"/>
      <c r="L102" s="11"/>
      <c r="M102" s="125"/>
      <c r="N102" s="125"/>
      <c r="O102" s="11"/>
      <c r="P102" s="125"/>
      <c r="Q102" s="11"/>
      <c r="R102" s="125"/>
      <c r="S102" s="125"/>
      <c r="T102" s="125"/>
      <c r="U102" s="125"/>
    </row>
    <row r="103" spans="5:21" s="121" customFormat="1" ht="17.25" customHeight="1">
      <c r="E103" s="11"/>
      <c r="F103" s="11"/>
      <c r="G103" s="11"/>
      <c r="H103" s="11"/>
      <c r="I103" s="128"/>
      <c r="J103" s="11"/>
      <c r="K103" s="11"/>
      <c r="L103" s="11"/>
      <c r="M103" s="125"/>
      <c r="N103" s="125"/>
      <c r="O103" s="11"/>
      <c r="P103" s="125"/>
      <c r="Q103" s="11"/>
      <c r="R103" s="125"/>
      <c r="S103" s="125"/>
      <c r="T103" s="125"/>
      <c r="U103" s="125"/>
    </row>
    <row r="104" spans="5:21" s="121" customFormat="1" ht="17.25" customHeight="1">
      <c r="E104" s="11"/>
      <c r="F104" s="11"/>
      <c r="G104" s="11"/>
      <c r="H104" s="11"/>
      <c r="I104" s="128"/>
      <c r="J104" s="11"/>
      <c r="K104" s="11"/>
      <c r="L104" s="11"/>
      <c r="M104" s="125"/>
      <c r="N104" s="125"/>
      <c r="O104" s="11"/>
      <c r="P104" s="125"/>
      <c r="Q104" s="11"/>
      <c r="R104" s="125"/>
      <c r="S104" s="125"/>
      <c r="T104" s="125"/>
      <c r="U104" s="125"/>
    </row>
    <row r="105" spans="5:21" s="121" customFormat="1" ht="17.25" customHeight="1">
      <c r="E105" s="11"/>
      <c r="F105" s="11"/>
      <c r="G105" s="11"/>
      <c r="H105" s="11"/>
      <c r="I105" s="128"/>
      <c r="J105" s="11"/>
      <c r="K105" s="11"/>
      <c r="L105" s="11"/>
      <c r="M105" s="125"/>
      <c r="N105" s="125"/>
      <c r="O105" s="11"/>
      <c r="P105" s="125"/>
      <c r="Q105" s="11"/>
      <c r="R105" s="125"/>
      <c r="S105" s="125"/>
      <c r="T105" s="125"/>
      <c r="U105" s="125"/>
    </row>
    <row r="106" spans="5:21" s="121" customFormat="1" ht="17.25" customHeight="1">
      <c r="E106" s="11"/>
      <c r="F106" s="11"/>
      <c r="G106" s="11"/>
      <c r="H106" s="11"/>
      <c r="I106" s="128"/>
      <c r="J106" s="11"/>
      <c r="K106" s="11"/>
      <c r="L106" s="11"/>
      <c r="M106" s="125"/>
      <c r="N106" s="125"/>
      <c r="O106" s="11"/>
      <c r="P106" s="125"/>
      <c r="Q106" s="11"/>
      <c r="R106" s="125"/>
      <c r="S106" s="125"/>
      <c r="T106" s="125"/>
      <c r="U106" s="125"/>
    </row>
    <row r="107" spans="5:21" s="121" customFormat="1" ht="17.25" customHeight="1">
      <c r="E107" s="11"/>
      <c r="F107" s="11"/>
      <c r="G107" s="11"/>
      <c r="H107" s="11"/>
      <c r="I107" s="128"/>
      <c r="J107" s="11"/>
      <c r="K107" s="11"/>
      <c r="L107" s="11"/>
      <c r="M107" s="125"/>
      <c r="N107" s="125"/>
      <c r="O107" s="11"/>
      <c r="P107" s="125"/>
      <c r="Q107" s="11"/>
      <c r="R107" s="125"/>
      <c r="S107" s="125"/>
      <c r="T107" s="125"/>
      <c r="U107" s="125"/>
    </row>
    <row r="108" spans="5:21" s="121" customFormat="1" ht="17.25" customHeight="1">
      <c r="E108" s="11"/>
      <c r="F108" s="11"/>
      <c r="G108" s="11"/>
      <c r="H108" s="11"/>
      <c r="I108" s="128"/>
      <c r="J108" s="11"/>
      <c r="K108" s="11"/>
      <c r="L108" s="11"/>
      <c r="M108" s="125"/>
      <c r="N108" s="125"/>
      <c r="O108" s="11"/>
      <c r="P108" s="125"/>
      <c r="Q108" s="11"/>
      <c r="R108" s="125"/>
      <c r="S108" s="125"/>
      <c r="T108" s="125"/>
      <c r="U108" s="125"/>
    </row>
    <row r="109" spans="5:21" s="121" customFormat="1" ht="17.25" customHeight="1">
      <c r="E109" s="11"/>
      <c r="F109" s="11"/>
      <c r="G109" s="11"/>
      <c r="H109" s="11"/>
      <c r="I109" s="128"/>
      <c r="J109" s="11"/>
      <c r="K109" s="11"/>
      <c r="L109" s="11"/>
      <c r="M109" s="125"/>
      <c r="N109" s="125"/>
      <c r="O109" s="11"/>
      <c r="P109" s="125"/>
      <c r="Q109" s="11"/>
      <c r="R109" s="125"/>
      <c r="S109" s="125"/>
      <c r="T109" s="125"/>
      <c r="U109" s="125"/>
    </row>
    <row r="110" spans="5:21" s="121" customFormat="1" ht="17.25" customHeight="1">
      <c r="E110" s="11"/>
      <c r="F110" s="11"/>
      <c r="G110" s="11"/>
      <c r="H110" s="11"/>
      <c r="I110" s="128"/>
      <c r="J110" s="11"/>
      <c r="K110" s="11"/>
      <c r="L110" s="11"/>
      <c r="M110" s="125"/>
      <c r="N110" s="125"/>
      <c r="O110" s="11"/>
      <c r="P110" s="125"/>
      <c r="Q110" s="11"/>
      <c r="R110" s="125"/>
      <c r="S110" s="125"/>
      <c r="T110" s="125"/>
      <c r="U110" s="125"/>
    </row>
    <row r="111" spans="5:21" s="121" customFormat="1" ht="17.25" customHeight="1">
      <c r="E111" s="11"/>
      <c r="F111" s="11"/>
      <c r="G111" s="11"/>
      <c r="H111" s="11"/>
      <c r="I111" s="128"/>
      <c r="J111" s="11"/>
      <c r="K111" s="11"/>
      <c r="L111" s="11"/>
      <c r="M111" s="125"/>
      <c r="N111" s="125"/>
      <c r="O111" s="11"/>
      <c r="P111" s="125"/>
      <c r="Q111" s="11"/>
      <c r="R111" s="125"/>
      <c r="S111" s="125"/>
      <c r="T111" s="125"/>
      <c r="U111" s="125"/>
    </row>
    <row r="112" spans="5:21" s="121" customFormat="1" ht="17.25" customHeight="1">
      <c r="E112" s="11"/>
      <c r="F112" s="11"/>
      <c r="G112" s="11"/>
      <c r="H112" s="11"/>
      <c r="I112" s="128"/>
      <c r="J112" s="11"/>
      <c r="K112" s="11"/>
      <c r="L112" s="11"/>
      <c r="M112" s="125"/>
      <c r="N112" s="125"/>
      <c r="O112" s="11"/>
      <c r="P112" s="125"/>
      <c r="Q112" s="11"/>
      <c r="R112" s="125"/>
      <c r="S112" s="125"/>
      <c r="T112" s="125"/>
      <c r="U112" s="125"/>
    </row>
    <row r="113" spans="5:21" s="121" customFormat="1" ht="17.25" customHeight="1">
      <c r="E113" s="11"/>
      <c r="F113" s="11"/>
      <c r="G113" s="11"/>
      <c r="H113" s="11"/>
      <c r="I113" s="128"/>
      <c r="J113" s="11"/>
      <c r="K113" s="11"/>
      <c r="L113" s="11"/>
      <c r="M113" s="125"/>
      <c r="N113" s="125"/>
      <c r="O113" s="11"/>
      <c r="P113" s="125"/>
      <c r="Q113" s="11"/>
      <c r="R113" s="125"/>
      <c r="S113" s="125"/>
      <c r="T113" s="125"/>
      <c r="U113" s="125"/>
    </row>
    <row r="114" spans="5:21" s="121" customFormat="1" ht="17.25" customHeight="1">
      <c r="E114" s="11"/>
      <c r="F114" s="11"/>
      <c r="G114" s="11"/>
      <c r="H114" s="11"/>
      <c r="I114" s="128"/>
      <c r="J114" s="11"/>
      <c r="K114" s="11"/>
      <c r="L114" s="11"/>
      <c r="M114" s="125"/>
      <c r="N114" s="125"/>
      <c r="O114" s="11"/>
      <c r="P114" s="125"/>
      <c r="Q114" s="11"/>
      <c r="R114" s="125"/>
      <c r="S114" s="125"/>
      <c r="T114" s="125"/>
      <c r="U114" s="125"/>
    </row>
    <row r="115" spans="5:21" s="121" customFormat="1" ht="17.25" customHeight="1">
      <c r="E115" s="11"/>
      <c r="F115" s="11"/>
      <c r="G115" s="11"/>
      <c r="H115" s="11"/>
      <c r="I115" s="128"/>
      <c r="J115" s="11"/>
      <c r="K115" s="11"/>
      <c r="L115" s="11"/>
      <c r="M115" s="125"/>
      <c r="N115" s="125"/>
      <c r="O115" s="11"/>
      <c r="P115" s="125"/>
      <c r="Q115" s="11"/>
      <c r="R115" s="125"/>
      <c r="S115" s="125"/>
      <c r="T115" s="125"/>
      <c r="U115" s="125"/>
    </row>
  </sheetData>
  <sheetProtection algorithmName="SHA-512" hashValue="0u8wsBRjN1f3JkIUfrfWZb5D8OawjBnf3RbHuWWdtdEvN1+woxo6P0YDDU9kOk7g+089Th3vBLRJMI0+w6hIkA==" saltValue="qO52zYppGIx2h9zbYPu3CA==" spinCount="100000" sheet="1" selectLockedCells="1"/>
  <mergeCells count="50">
    <mergeCell ref="L25:M25"/>
    <mergeCell ref="L26:M26"/>
    <mergeCell ref="O27:U27"/>
    <mergeCell ref="K4:U4"/>
    <mergeCell ref="K5:U5"/>
    <mergeCell ref="O22:U22"/>
    <mergeCell ref="O23:U23"/>
    <mergeCell ref="O24:U24"/>
    <mergeCell ref="O25:U25"/>
    <mergeCell ref="O26:U26"/>
    <mergeCell ref="O17:U17"/>
    <mergeCell ref="O18:U18"/>
    <mergeCell ref="O19:U19"/>
    <mergeCell ref="O20:U20"/>
    <mergeCell ref="O21:U21"/>
    <mergeCell ref="L27:M27"/>
    <mergeCell ref="L20:M20"/>
    <mergeCell ref="L21:M21"/>
    <mergeCell ref="L22:M22"/>
    <mergeCell ref="L23:M23"/>
    <mergeCell ref="L24:M24"/>
    <mergeCell ref="D3:H3"/>
    <mergeCell ref="L16:M16"/>
    <mergeCell ref="L15:M15"/>
    <mergeCell ref="O9:U9"/>
    <mergeCell ref="O10:U10"/>
    <mergeCell ref="O11:U11"/>
    <mergeCell ref="O12:U12"/>
    <mergeCell ref="O13:U13"/>
    <mergeCell ref="O14:U14"/>
    <mergeCell ref="O15:U15"/>
    <mergeCell ref="O16:U16"/>
    <mergeCell ref="K3:U3"/>
    <mergeCell ref="O7:U7"/>
    <mergeCell ref="D32:U32"/>
    <mergeCell ref="B4:C4"/>
    <mergeCell ref="B5:C5"/>
    <mergeCell ref="L8:M8"/>
    <mergeCell ref="L9:M9"/>
    <mergeCell ref="L14:M14"/>
    <mergeCell ref="L13:M13"/>
    <mergeCell ref="L12:M12"/>
    <mergeCell ref="L11:M11"/>
    <mergeCell ref="L10:M10"/>
    <mergeCell ref="D4:H4"/>
    <mergeCell ref="D5:H5"/>
    <mergeCell ref="O8:U8"/>
    <mergeCell ref="L17:M17"/>
    <mergeCell ref="L18:M18"/>
    <mergeCell ref="L19:M19"/>
  </mergeCells>
  <phoneticPr fontId="8" type="noConversion"/>
  <conditionalFormatting sqref="D6">
    <cfRule type="containsText" dxfId="276" priority="47" operator="containsText" text="MISSING">
      <formula>NOT(ISERROR(SEARCH("MISSING",D6)))</formula>
    </cfRule>
  </conditionalFormatting>
  <conditionalFormatting sqref="W8:W27 Y27">
    <cfRule type="containsText" dxfId="275" priority="19" operator="containsText" text="must">
      <formula>NOT(ISERROR(SEARCH("must",W8)))</formula>
    </cfRule>
  </conditionalFormatting>
  <conditionalFormatting sqref="X8:X27 Z8:Z27">
    <cfRule type="containsText" dxfId="274" priority="18" operator="containsText" text="must">
      <formula>NOT(ISERROR(SEARCH("must",X8)))</formula>
    </cfRule>
  </conditionalFormatting>
  <conditionalFormatting sqref="D29:D32">
    <cfRule type="containsText" dxfId="273" priority="17" operator="containsText" text="MISSING">
      <formula>NOT(ISERROR(SEARCH("MISSING",D29)))</formula>
    </cfRule>
  </conditionalFormatting>
  <conditionalFormatting sqref="Y8:Y26">
    <cfRule type="containsText" dxfId="272" priority="7" operator="containsText" text="must">
      <formula>NOT(ISERROR(SEARCH("must",Y8)))</formula>
    </cfRule>
  </conditionalFormatting>
  <conditionalFormatting sqref="L7 F7 O7 D7 J7:J27">
    <cfRule type="expression" dxfId="271" priority="338">
      <formula>AND($J7="",$Q7&lt;&gt;"")</formula>
    </cfRule>
  </conditionalFormatting>
  <conditionalFormatting sqref="F6">
    <cfRule type="expression" dxfId="270" priority="355">
      <formula>AND($F6="",$Q6&lt;&gt;"")</formula>
    </cfRule>
  </conditionalFormatting>
  <conditionalFormatting sqref="D4:D5">
    <cfRule type="expression" dxfId="269" priority="356">
      <formula>AND($D4="",$Q4&lt;&gt;"")</formula>
    </cfRule>
  </conditionalFormatting>
  <dataValidations count="4">
    <dataValidation type="list" allowBlank="1" showInputMessage="1" showErrorMessage="1" sqref="L8:M26" xr:uid="{00000000-0002-0000-0300-000000000000}">
      <formula1>Activity</formula1>
    </dataValidation>
    <dataValidation type="list" allowBlank="1" showInputMessage="1" showErrorMessage="1" sqref="N8:N16" xr:uid="{00000000-0002-0000-0300-000001000000}">
      <formula1>Program</formula1>
    </dataValidation>
    <dataValidation type="list" allowBlank="1" showErrorMessage="1" sqref="J8:J26" xr:uid="{00000000-0002-0000-0300-000002000000}">
      <formula1>Program</formula1>
    </dataValidation>
    <dataValidation type="list" allowBlank="1" showInputMessage="1" showErrorMessage="1" sqref="F8:F26" xr:uid="{00000000-0002-0000-0300-000003000000}">
      <formula1>WP.list</formula1>
    </dataValidation>
  </dataValidations>
  <printOptions horizontalCentered="1" verticalCentered="1"/>
  <pageMargins left="0.7" right="0.7" top="0.75" bottom="0.75" header="0.3" footer="0.3"/>
  <pageSetup paperSize="9" scale="77" orientation="landscape" r:id="rId1"/>
  <headerFooter scaleWithDoc="0">
    <oddHeader>&amp;L&amp;"Arial Narrow,Fet"&amp;12Karolinska Institutet&amp;C&amp;"-,Fet"&amp;14TIME-SHEET</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tabColor theme="5" tint="-0.249977111117893"/>
    <pageSetUpPr fitToPage="1"/>
  </sheetPr>
  <dimension ref="B1:AM164"/>
  <sheetViews>
    <sheetView showGridLines="0" showZeros="0" zoomScale="40" zoomScaleNormal="40" zoomScaleSheetLayoutView="70" zoomScalePageLayoutView="55" workbookViewId="0">
      <selection activeCell="D4" sqref="D4"/>
    </sheetView>
  </sheetViews>
  <sheetFormatPr defaultColWidth="0" defaultRowHeight="14.5" zeroHeight="1"/>
  <cols>
    <col min="1" max="1" width="1.54296875" style="12" customWidth="1"/>
    <col min="2" max="2" width="25.7265625" style="12" customWidth="1"/>
    <col min="3" max="3" width="26" style="12" customWidth="1"/>
    <col min="4" max="4" width="6" style="12" customWidth="1"/>
    <col min="5" max="34" width="5.26953125" style="12" customWidth="1"/>
    <col min="35" max="35" width="8.26953125" style="12" customWidth="1"/>
    <col min="36" max="36" width="7.7265625" style="12" customWidth="1"/>
    <col min="37" max="37" width="29.54296875" style="12" customWidth="1"/>
    <col min="38" max="38" width="5.26953125" style="118" customWidth="1"/>
    <col min="39" max="39" width="26.26953125" style="12" customWidth="1"/>
    <col min="40" max="16383" width="9.1796875" style="12" customWidth="1"/>
    <col min="16384" max="16384" width="2.1796875" style="12" customWidth="1"/>
  </cols>
  <sheetData>
    <row r="1" spans="2:38" ht="21">
      <c r="B1" s="96" t="s">
        <v>12</v>
      </c>
      <c r="C1" s="96">
        <f>Year</f>
        <v>2021</v>
      </c>
      <c r="D1" s="97"/>
      <c r="E1" s="97"/>
      <c r="F1" s="97"/>
      <c r="G1" s="97"/>
      <c r="H1" s="97"/>
      <c r="I1" s="97"/>
      <c r="J1" s="97"/>
      <c r="K1" s="97"/>
      <c r="L1" s="97"/>
      <c r="M1" s="97"/>
      <c r="N1" s="114"/>
      <c r="O1" s="97"/>
      <c r="P1" s="98" t="s">
        <v>6</v>
      </c>
      <c r="Q1" s="99">
        <f>Member</f>
        <v>0</v>
      </c>
      <c r="R1" s="97"/>
      <c r="S1" s="48"/>
      <c r="T1" s="48"/>
      <c r="U1" s="48"/>
      <c r="V1" s="48"/>
      <c r="W1" s="48"/>
      <c r="X1" s="48"/>
      <c r="Y1" s="48"/>
      <c r="Z1" s="48"/>
      <c r="AA1" s="48"/>
      <c r="AB1" s="48"/>
      <c r="AC1" s="115"/>
      <c r="AD1" s="48"/>
      <c r="AE1" s="34"/>
      <c r="AF1" s="48"/>
      <c r="AG1" s="48"/>
      <c r="AH1" s="48"/>
      <c r="AI1" s="34"/>
      <c r="AJ1" s="34"/>
    </row>
    <row r="2" spans="2:38" ht="12.75" customHeight="1">
      <c r="B2" s="36"/>
      <c r="C2" s="50">
        <f>C39</f>
        <v>39</v>
      </c>
      <c r="D2" s="50" t="b">
        <f ca="1">OR(OR(WEEKDAY(D3,2)=6,WEEKDAY(D3,2)=7),IFERROR(INDEX(INDIRECT("Shortened[WorkHours]"),MATCH(D3,INDIRECT("Shortened[DateInYear]"),0),0),0)&gt;7,IFERROR(INDEX(INDIRECT("Clamp[WorkHours]"),MATCH(D3,INDIRECT("Clamp[DateInYear]"),0),0),0)&gt;7,IFERROR(MATCH(D3,INDIRECT("Fixed_dates[DateInYear]"),0),0)&gt;0,IFERROR(MATCH(D3,INDIRECT("Fixed_weekdays[DateInYear]"),0),0)&gt;0)</f>
        <v>1</v>
      </c>
      <c r="E2" s="50" t="b">
        <f t="shared" ref="E2:AH2" ca="1" si="0">OR(OR(WEEKDAY(E3,2)=6,WEEKDAY(E3,2)=7),IFERROR(INDEX(INDIRECT("Shortened[WorkHours]"),MATCH(E3,INDIRECT("Shortened[DateInYear]"),0),0),0)&gt;7,IFERROR(INDEX(INDIRECT("Clamp[WorkHours]"),MATCH(E3,INDIRECT("Clamp[DateInYear]"),0),0),0)&gt;7,IFERROR(MATCH(E3,INDIRECT("Fixed_dates[DateInYear]"),0),0)&gt;0,IFERROR(MATCH(E3,INDIRECT("Fixed_weekdays[DateInYear]"),0),0)&gt;0)</f>
        <v>1</v>
      </c>
      <c r="F2" s="50" t="b">
        <f t="shared" ca="1" si="0"/>
        <v>1</v>
      </c>
      <c r="G2" s="50" t="b">
        <f t="shared" ca="1" si="0"/>
        <v>0</v>
      </c>
      <c r="H2" s="50" t="b">
        <f t="shared" ca="1" si="0"/>
        <v>0</v>
      </c>
      <c r="I2" s="50" t="b">
        <f t="shared" ca="1" si="0"/>
        <v>1</v>
      </c>
      <c r="J2" s="50" t="b">
        <f t="shared" ca="1" si="0"/>
        <v>0</v>
      </c>
      <c r="K2" s="50" t="b">
        <f t="shared" ca="1" si="0"/>
        <v>0</v>
      </c>
      <c r="L2" s="50" t="b">
        <f t="shared" ca="1" si="0"/>
        <v>1</v>
      </c>
      <c r="M2" s="50" t="b">
        <f t="shared" ca="1" si="0"/>
        <v>1</v>
      </c>
      <c r="N2" s="50" t="b">
        <f t="shared" ca="1" si="0"/>
        <v>0</v>
      </c>
      <c r="O2" s="50" t="b">
        <f t="shared" ca="1" si="0"/>
        <v>0</v>
      </c>
      <c r="P2" s="50" t="b">
        <f t="shared" ca="1" si="0"/>
        <v>0</v>
      </c>
      <c r="Q2" s="50" t="b">
        <f t="shared" ca="1" si="0"/>
        <v>0</v>
      </c>
      <c r="R2" s="116" t="b">
        <f t="shared" ca="1" si="0"/>
        <v>0</v>
      </c>
      <c r="S2" s="50" t="b">
        <f t="shared" ca="1" si="0"/>
        <v>1</v>
      </c>
      <c r="T2" s="50" t="b">
        <f t="shared" ca="1" si="0"/>
        <v>1</v>
      </c>
      <c r="U2" s="50" t="b">
        <f t="shared" ca="1" si="0"/>
        <v>0</v>
      </c>
      <c r="V2" s="50" t="b">
        <f t="shared" ca="1" si="0"/>
        <v>0</v>
      </c>
      <c r="W2" s="50" t="b">
        <f t="shared" ca="1" si="0"/>
        <v>0</v>
      </c>
      <c r="X2" s="50" t="b">
        <f t="shared" ca="1" si="0"/>
        <v>0</v>
      </c>
      <c r="Y2" s="50" t="b">
        <f t="shared" ca="1" si="0"/>
        <v>0</v>
      </c>
      <c r="Z2" s="50" t="b">
        <f t="shared" ca="1" si="0"/>
        <v>1</v>
      </c>
      <c r="AA2" s="50" t="b">
        <f t="shared" ca="1" si="0"/>
        <v>1</v>
      </c>
      <c r="AB2" s="50" t="b">
        <f t="shared" ca="1" si="0"/>
        <v>0</v>
      </c>
      <c r="AC2" s="50" t="b">
        <f t="shared" ca="1" si="0"/>
        <v>0</v>
      </c>
      <c r="AD2" s="50" t="b">
        <f t="shared" ca="1" si="0"/>
        <v>0</v>
      </c>
      <c r="AE2" s="50" t="b">
        <f t="shared" ca="1" si="0"/>
        <v>0</v>
      </c>
      <c r="AF2" s="50" t="b">
        <f ca="1">OR(OR(WEEKDAY(AF3,2)=6,WEEKDAY(AF3,2)=7),IFERROR(INDEX(INDIRECT("Shortened[WorkHours]"),MATCH(AF3,INDIRECT("Shortened[DateInYear]"),0),0),0)&gt;7,IFERROR(INDEX(INDIRECT("Clamp[WorkHours]"),MATCH(AF3,INDIRECT("Clamp[DateInYear]"),0),0),0)&gt;7,IFERROR(MATCH(AF3,INDIRECT("Fixed_dates[DateInYear]"),0),0)&gt;0,IFERROR(MATCH(AF3,INDIRECT("Fixed_weekdays[DateInYear]"),0),0)&gt;0)</f>
        <v>0</v>
      </c>
      <c r="AG2" s="50" t="b">
        <f t="shared" ca="1" si="0"/>
        <v>1</v>
      </c>
      <c r="AH2" s="50" t="b">
        <f t="shared" ca="1" si="0"/>
        <v>1</v>
      </c>
      <c r="AI2" s="100"/>
      <c r="AJ2" s="117"/>
    </row>
    <row r="3" spans="2:38" ht="17.149999999999999" customHeight="1">
      <c r="B3" s="85" t="s">
        <v>74</v>
      </c>
      <c r="C3" s="86"/>
      <c r="D3" s="87">
        <f>DATEVALUE(AloxÅr&amp;"-"&amp;VLOOKUP(LEFT(B1,3),Holidays!$M$4:$N$15,2,0)&amp;"-1")</f>
        <v>44197</v>
      </c>
      <c r="E3" s="87">
        <f>DATE(YEAR(D3),MONTH(D3),DAY(D3)+1)</f>
        <v>44198</v>
      </c>
      <c r="F3" s="87">
        <f>DATE(YEAR(E3),MONTH(E3),DAY(E3)+1)</f>
        <v>44199</v>
      </c>
      <c r="G3" s="87">
        <f>DATE(YEAR(F3),MONTH(F3),DAY(F3)+1)</f>
        <v>44200</v>
      </c>
      <c r="H3" s="87">
        <f t="shared" ref="H3:AH3" si="1">DATE(YEAR(G3),MONTH(G3),DAY(G3)+1)</f>
        <v>44201</v>
      </c>
      <c r="I3" s="87">
        <f t="shared" si="1"/>
        <v>44202</v>
      </c>
      <c r="J3" s="87">
        <f t="shared" si="1"/>
        <v>44203</v>
      </c>
      <c r="K3" s="87">
        <f t="shared" si="1"/>
        <v>44204</v>
      </c>
      <c r="L3" s="87">
        <f t="shared" si="1"/>
        <v>44205</v>
      </c>
      <c r="M3" s="87">
        <f t="shared" si="1"/>
        <v>44206</v>
      </c>
      <c r="N3" s="87">
        <f t="shared" si="1"/>
        <v>44207</v>
      </c>
      <c r="O3" s="87">
        <f t="shared" si="1"/>
        <v>44208</v>
      </c>
      <c r="P3" s="87">
        <f t="shared" si="1"/>
        <v>44209</v>
      </c>
      <c r="Q3" s="87">
        <f t="shared" si="1"/>
        <v>44210</v>
      </c>
      <c r="R3" s="87">
        <f t="shared" si="1"/>
        <v>44211</v>
      </c>
      <c r="S3" s="87">
        <f t="shared" si="1"/>
        <v>44212</v>
      </c>
      <c r="T3" s="87">
        <f t="shared" si="1"/>
        <v>44213</v>
      </c>
      <c r="U3" s="87">
        <f t="shared" si="1"/>
        <v>44214</v>
      </c>
      <c r="V3" s="87">
        <f t="shared" si="1"/>
        <v>44215</v>
      </c>
      <c r="W3" s="87">
        <f t="shared" si="1"/>
        <v>44216</v>
      </c>
      <c r="X3" s="87">
        <f t="shared" si="1"/>
        <v>44217</v>
      </c>
      <c r="Y3" s="87">
        <f t="shared" si="1"/>
        <v>44218</v>
      </c>
      <c r="Z3" s="87">
        <f t="shared" si="1"/>
        <v>44219</v>
      </c>
      <c r="AA3" s="87">
        <f t="shared" si="1"/>
        <v>44220</v>
      </c>
      <c r="AB3" s="87">
        <f t="shared" si="1"/>
        <v>44221</v>
      </c>
      <c r="AC3" s="87">
        <f t="shared" si="1"/>
        <v>44222</v>
      </c>
      <c r="AD3" s="87">
        <f t="shared" si="1"/>
        <v>44223</v>
      </c>
      <c r="AE3" s="87">
        <f t="shared" si="1"/>
        <v>44224</v>
      </c>
      <c r="AF3" s="87">
        <f t="shared" si="1"/>
        <v>44225</v>
      </c>
      <c r="AG3" s="87">
        <f t="shared" si="1"/>
        <v>44226</v>
      </c>
      <c r="AH3" s="87">
        <f t="shared" si="1"/>
        <v>44227</v>
      </c>
      <c r="AI3" s="113" t="s">
        <v>3</v>
      </c>
      <c r="AJ3" s="113" t="s">
        <v>97</v>
      </c>
      <c r="AK3" s="183" t="s">
        <v>213</v>
      </c>
    </row>
    <row r="4" spans="2:38" s="64" customFormat="1" ht="17.149999999999999" customHeight="1">
      <c r="B4" s="327" t="str">
        <f>IFERROR(Project.01&amp;" "&amp;WP.01&amp;" "&amp;Contract.01&amp;" "&amp;Type.01&amp;" "&amp;Activity.01," ")</f>
        <v xml:space="preserve">    </v>
      </c>
      <c r="C4" s="327"/>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9">
        <f>SUM(D4:AH4)</f>
        <v>0</v>
      </c>
      <c r="AJ4" s="111" t="str">
        <f t="shared" ref="AJ4:AJ23" si="2">IFERROR(AI4/$AI$26,"")</f>
        <v/>
      </c>
      <c r="AK4" s="188"/>
      <c r="AL4" s="119"/>
    </row>
    <row r="5" spans="2:38" s="64" customFormat="1" ht="17.149999999999999" customHeight="1">
      <c r="B5" s="327" t="str">
        <f>IFERROR(Project.02&amp;" "&amp;WP.02&amp;" "&amp;Contract.02&amp;" "&amp;Type.02&amp;" "&amp;Activity.02," ")</f>
        <v xml:space="preserve">    </v>
      </c>
      <c r="C5" s="327"/>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9">
        <f>SUM(D5:AH5)</f>
        <v>0</v>
      </c>
      <c r="AJ5" s="111" t="str">
        <f t="shared" si="2"/>
        <v/>
      </c>
      <c r="AK5" s="188"/>
      <c r="AL5" s="119"/>
    </row>
    <row r="6" spans="2:38" s="64" customFormat="1" ht="17.149999999999999" customHeight="1">
      <c r="B6" s="327" t="str">
        <f>IFERROR(Project.03&amp;" "&amp;WP.03&amp;" "&amp;Contract.03&amp;" "&amp;Type.03&amp;" "&amp;Activity.03," ")</f>
        <v xml:space="preserve">    </v>
      </c>
      <c r="C6" s="327"/>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9">
        <f>SUM(D6:AH6)</f>
        <v>0</v>
      </c>
      <c r="AJ6" s="111" t="str">
        <f t="shared" si="2"/>
        <v/>
      </c>
      <c r="AK6" s="188"/>
      <c r="AL6" s="119"/>
    </row>
    <row r="7" spans="2:38" s="64" customFormat="1" ht="17.149999999999999" customHeight="1">
      <c r="B7" s="327" t="str">
        <f>IFERROR(Project.04&amp;" "&amp;WP.04&amp;" "&amp;Contract.04&amp;" "&amp;Type.04&amp;" "&amp;Activity.04," ")</f>
        <v xml:space="preserve">    </v>
      </c>
      <c r="C7" s="327"/>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9">
        <f t="shared" ref="AI7:AI17" si="3">SUM(D7:AH7)</f>
        <v>0</v>
      </c>
      <c r="AJ7" s="111" t="str">
        <f t="shared" si="2"/>
        <v/>
      </c>
      <c r="AK7" s="188"/>
      <c r="AL7" s="119"/>
    </row>
    <row r="8" spans="2:38" s="64" customFormat="1" ht="17.149999999999999" customHeight="1">
      <c r="B8" s="327" t="str">
        <f>IFERROR(Project.05&amp;" "&amp;WP.05&amp;" "&amp;Contract.05&amp;" "&amp;Type.05&amp;" "&amp;Activity.05," ")</f>
        <v xml:space="preserve">    </v>
      </c>
      <c r="C8" s="327"/>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9">
        <f t="shared" si="3"/>
        <v>0</v>
      </c>
      <c r="AJ8" s="111" t="str">
        <f t="shared" si="2"/>
        <v/>
      </c>
      <c r="AK8" s="188"/>
      <c r="AL8" s="119"/>
    </row>
    <row r="9" spans="2:38" s="64" customFormat="1" ht="17.149999999999999" customHeight="1">
      <c r="B9" s="327" t="str">
        <f>IFERROR(Project.06&amp;" "&amp;WP.06&amp;" "&amp;Contract.06&amp;" "&amp;Type.06&amp;" "&amp;Activity.06," ")</f>
        <v xml:space="preserve">    </v>
      </c>
      <c r="C9" s="327"/>
      <c r="D9" s="88"/>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9">
        <f t="shared" si="3"/>
        <v>0</v>
      </c>
      <c r="AJ9" s="111" t="str">
        <f t="shared" si="2"/>
        <v/>
      </c>
      <c r="AK9" s="188"/>
      <c r="AL9" s="119"/>
    </row>
    <row r="10" spans="2:38" s="64" customFormat="1" ht="17.149999999999999" customHeight="1">
      <c r="B10" s="327" t="str">
        <f>IFERROR(Project.07&amp;" "&amp;WP.07&amp;" "&amp;Contract.07&amp;" "&amp;Type.07&amp;" "&amp;Activity.07," ")</f>
        <v xml:space="preserve">    </v>
      </c>
      <c r="C10" s="327"/>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9">
        <f t="shared" si="3"/>
        <v>0</v>
      </c>
      <c r="AJ10" s="111" t="str">
        <f t="shared" si="2"/>
        <v/>
      </c>
      <c r="AK10" s="188"/>
      <c r="AL10" s="119"/>
    </row>
    <row r="11" spans="2:38" s="64" customFormat="1" ht="17.149999999999999" customHeight="1">
      <c r="B11" s="327" t="str">
        <f>IFERROR(Project.08&amp;" "&amp;WP.08&amp;" "&amp;Contract.08&amp;" "&amp;Type.08&amp;" "&amp;Activity.08," ")</f>
        <v xml:space="preserve">    </v>
      </c>
      <c r="C11" s="327"/>
      <c r="D11" s="88"/>
      <c r="E11" s="88"/>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9">
        <f t="shared" si="3"/>
        <v>0</v>
      </c>
      <c r="AJ11" s="111" t="str">
        <f t="shared" si="2"/>
        <v/>
      </c>
      <c r="AK11" s="188"/>
      <c r="AL11" s="119"/>
    </row>
    <row r="12" spans="2:38" s="64" customFormat="1" ht="17.149999999999999" customHeight="1">
      <c r="B12" s="327" t="str">
        <f>IFERROR(Project.09&amp;" "&amp;WP.09&amp;" "&amp;Contract.09&amp;" "&amp;Type.09&amp;" "&amp;Activity.09," ")</f>
        <v xml:space="preserve">    </v>
      </c>
      <c r="C12" s="327"/>
      <c r="D12" s="88"/>
      <c r="E12" s="88"/>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9">
        <f t="shared" si="3"/>
        <v>0</v>
      </c>
      <c r="AJ12" s="111" t="str">
        <f t="shared" si="2"/>
        <v/>
      </c>
      <c r="AK12" s="188"/>
      <c r="AL12" s="119"/>
    </row>
    <row r="13" spans="2:38" s="64" customFormat="1" ht="17.149999999999999" customHeight="1">
      <c r="B13" s="327" t="str">
        <f>IFERROR(Project.10&amp;" "&amp;WP.10&amp;" "&amp;Contract.10&amp;" "&amp;Type.10&amp;" "&amp;Activity.10," ")</f>
        <v xml:space="preserve">    </v>
      </c>
      <c r="C13" s="327"/>
      <c r="D13" s="88"/>
      <c r="E13" s="88"/>
      <c r="F13" s="88"/>
      <c r="G13" s="88"/>
      <c r="H13" s="88"/>
      <c r="I13" s="88"/>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9">
        <f t="shared" si="3"/>
        <v>0</v>
      </c>
      <c r="AJ13" s="111" t="str">
        <f t="shared" si="2"/>
        <v/>
      </c>
      <c r="AK13" s="188"/>
      <c r="AL13" s="119"/>
    </row>
    <row r="14" spans="2:38" s="64" customFormat="1" ht="17.149999999999999" customHeight="1">
      <c r="B14" s="327" t="str">
        <f>IFERROR(Project.11&amp;" "&amp;WP.11&amp;" "&amp;Contract.11&amp;" "&amp;Type.11&amp;" "&amp;Activity.11," ")</f>
        <v xml:space="preserve">    </v>
      </c>
      <c r="C14" s="327"/>
      <c r="D14" s="88"/>
      <c r="E14" s="88"/>
      <c r="F14" s="88"/>
      <c r="G14" s="88"/>
      <c r="H14" s="88"/>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9">
        <f t="shared" si="3"/>
        <v>0</v>
      </c>
      <c r="AJ14" s="111" t="str">
        <f t="shared" si="2"/>
        <v/>
      </c>
      <c r="AK14" s="188"/>
      <c r="AL14" s="119"/>
    </row>
    <row r="15" spans="2:38" s="64" customFormat="1" ht="17.149999999999999" customHeight="1">
      <c r="B15" s="327" t="str">
        <f>IFERROR(Project.12&amp;" "&amp;WP.12&amp;" "&amp;Contract.12&amp;" "&amp;Type.12&amp;" "&amp;Activity.12," ")</f>
        <v xml:space="preserve">    </v>
      </c>
      <c r="C15" s="327"/>
      <c r="D15" s="88"/>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9">
        <f t="shared" si="3"/>
        <v>0</v>
      </c>
      <c r="AJ15" s="111" t="str">
        <f t="shared" si="2"/>
        <v/>
      </c>
      <c r="AK15" s="188"/>
      <c r="AL15" s="119"/>
    </row>
    <row r="16" spans="2:38" s="64" customFormat="1" ht="17.149999999999999" customHeight="1">
      <c r="B16" s="327" t="str">
        <f>IFERROR(Project.13&amp;" "&amp;WP.13&amp;" "&amp;Contract.13&amp;" "&amp;Type.13&amp;" "&amp;Activity.13," ")</f>
        <v xml:space="preserve">    </v>
      </c>
      <c r="C16" s="327"/>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9">
        <f t="shared" si="3"/>
        <v>0</v>
      </c>
      <c r="AJ16" s="111" t="str">
        <f t="shared" si="2"/>
        <v/>
      </c>
      <c r="AK16" s="188"/>
      <c r="AL16" s="119"/>
    </row>
    <row r="17" spans="2:39" s="64" customFormat="1" ht="17.149999999999999" customHeight="1">
      <c r="B17" s="327" t="str">
        <f>IFERROR(Project.14&amp;" "&amp;WP.14&amp;" "&amp;Contract.14&amp;" "&amp;Type.14&amp;" "&amp;Activity.14," ")</f>
        <v xml:space="preserve">    </v>
      </c>
      <c r="C17" s="327"/>
      <c r="D17" s="88"/>
      <c r="E17" s="88"/>
      <c r="F17" s="88"/>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9">
        <f t="shared" si="3"/>
        <v>0</v>
      </c>
      <c r="AJ17" s="111" t="str">
        <f t="shared" si="2"/>
        <v/>
      </c>
      <c r="AK17" s="188"/>
      <c r="AL17" s="119"/>
    </row>
    <row r="18" spans="2:39" s="64" customFormat="1" ht="17.149999999999999" customHeight="1">
      <c r="B18" s="327" t="str">
        <f>IFERROR(Project.15&amp;" "&amp;WP.15&amp;" "&amp;Contract.15&amp;" "&amp;Type.15&amp;" "&amp;Activity.15," ")</f>
        <v xml:space="preserve">    </v>
      </c>
      <c r="C18" s="327"/>
      <c r="D18" s="88"/>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9">
        <f t="shared" ref="AI18:AI23" si="4">SUM(D18:AH18)</f>
        <v>0</v>
      </c>
      <c r="AJ18" s="111" t="str">
        <f t="shared" si="2"/>
        <v/>
      </c>
      <c r="AK18" s="188"/>
      <c r="AL18" s="119"/>
    </row>
    <row r="19" spans="2:39" s="64" customFormat="1" ht="17.149999999999999" customHeight="1">
      <c r="B19" s="327" t="str">
        <f>IFERROR(Project.16&amp;" "&amp;WP.16&amp;" "&amp;Contract.16&amp;" "&amp;Type.16&amp;" "&amp;Activity.16," ")</f>
        <v xml:space="preserve">    </v>
      </c>
      <c r="C19" s="327"/>
      <c r="D19" s="88"/>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9">
        <f t="shared" si="4"/>
        <v>0</v>
      </c>
      <c r="AJ19" s="111" t="str">
        <f t="shared" si="2"/>
        <v/>
      </c>
      <c r="AK19" s="188"/>
      <c r="AL19" s="119"/>
    </row>
    <row r="20" spans="2:39" s="64" customFormat="1" ht="17.149999999999999" customHeight="1">
      <c r="B20" s="327" t="str">
        <f>IFERROR(Project.17&amp;" "&amp;WP.17&amp;" "&amp;Contract.17&amp;" "&amp;Type.17&amp;" "&amp;Activity.17," ")</f>
        <v xml:space="preserve">    </v>
      </c>
      <c r="C20" s="327"/>
      <c r="D20" s="88"/>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9">
        <f t="shared" si="4"/>
        <v>0</v>
      </c>
      <c r="AJ20" s="111" t="str">
        <f t="shared" si="2"/>
        <v/>
      </c>
      <c r="AK20" s="188"/>
      <c r="AL20" s="119"/>
    </row>
    <row r="21" spans="2:39" s="64" customFormat="1" ht="17.149999999999999" customHeight="1">
      <c r="B21" s="329" t="str">
        <f>IFERROR(Project.18&amp;" "&amp;WP.18&amp;" "&amp;Contract.18&amp;" "&amp;Type.18&amp;" "&amp;Activity.18," ")</f>
        <v xml:space="preserve">    </v>
      </c>
      <c r="C21" s="330"/>
      <c r="D21" s="88"/>
      <c r="E21" s="88"/>
      <c r="F21" s="88"/>
      <c r="G21" s="88"/>
      <c r="H21" s="88"/>
      <c r="I21" s="88"/>
      <c r="J21" s="88"/>
      <c r="K21" s="88"/>
      <c r="L21" s="88"/>
      <c r="M21" s="88"/>
      <c r="N21" s="88"/>
      <c r="O21" s="88"/>
      <c r="P21" s="88"/>
      <c r="Q21" s="88"/>
      <c r="R21" s="88"/>
      <c r="S21" s="88"/>
      <c r="T21" s="88"/>
      <c r="U21" s="88"/>
      <c r="V21" s="88"/>
      <c r="W21" s="88"/>
      <c r="X21" s="88"/>
      <c r="Y21" s="88"/>
      <c r="Z21" s="88"/>
      <c r="AA21" s="88"/>
      <c r="AB21" s="88"/>
      <c r="AC21" s="88"/>
      <c r="AD21" s="88"/>
      <c r="AE21" s="88"/>
      <c r="AF21" s="88"/>
      <c r="AG21" s="88"/>
      <c r="AH21" s="88"/>
      <c r="AI21" s="89">
        <f t="shared" si="4"/>
        <v>0</v>
      </c>
      <c r="AJ21" s="111" t="str">
        <f t="shared" si="2"/>
        <v/>
      </c>
      <c r="AK21" s="188"/>
      <c r="AL21" s="119"/>
    </row>
    <row r="22" spans="2:39" s="64" customFormat="1" ht="17.149999999999999" customHeight="1">
      <c r="B22" s="329" t="str">
        <f>IFERROR(Project.19&amp;" "&amp;WP.19&amp;" "&amp;Contract.19&amp;" "&amp;Type.19&amp;" "&amp;Activity.19," ")</f>
        <v xml:space="preserve">    </v>
      </c>
      <c r="C22" s="330"/>
      <c r="D22" s="88"/>
      <c r="E22" s="88"/>
      <c r="F22" s="88"/>
      <c r="G22" s="88"/>
      <c r="H22" s="88"/>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9">
        <f t="shared" si="4"/>
        <v>0</v>
      </c>
      <c r="AJ22" s="111" t="str">
        <f t="shared" si="2"/>
        <v/>
      </c>
      <c r="AK22" s="188"/>
      <c r="AL22" s="119"/>
    </row>
    <row r="23" spans="2:39" s="64" customFormat="1" ht="17.149999999999999" customHeight="1">
      <c r="B23" s="328" t="str">
        <f>IFERROR(Project.20&amp;" "&amp;WP.20&amp;" "&amp;Contract.20&amp;" "&amp;Type.20&amp;" "&amp;Activity.20," ")</f>
        <v xml:space="preserve">OTHER HOURS WORKED    </v>
      </c>
      <c r="C23" s="328"/>
      <c r="D23" s="88"/>
      <c r="E23" s="88"/>
      <c r="F23" s="88"/>
      <c r="G23" s="88"/>
      <c r="H23" s="88"/>
      <c r="I23" s="88"/>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9">
        <f t="shared" si="4"/>
        <v>0</v>
      </c>
      <c r="AJ23" s="111" t="str">
        <f t="shared" si="2"/>
        <v/>
      </c>
      <c r="AK23" s="188"/>
      <c r="AL23" s="119"/>
    </row>
    <row r="24" spans="2:39" s="64" customFormat="1" ht="18.75" customHeight="1">
      <c r="B24" s="207" t="s">
        <v>239</v>
      </c>
      <c r="C24" s="81"/>
      <c r="D24" s="208"/>
      <c r="E24" s="208"/>
      <c r="F24" s="208"/>
      <c r="G24" s="208"/>
      <c r="H24" s="208"/>
      <c r="I24" s="208"/>
      <c r="J24" s="208"/>
      <c r="K24" s="208"/>
      <c r="L24" s="208"/>
      <c r="M24" s="208"/>
      <c r="N24" s="208"/>
      <c r="O24" s="208"/>
      <c r="P24" s="208"/>
      <c r="Q24" s="208"/>
      <c r="R24" s="208"/>
      <c r="S24" s="208"/>
      <c r="T24" s="208"/>
      <c r="U24" s="208"/>
      <c r="V24" s="208"/>
      <c r="W24" s="208"/>
      <c r="X24" s="208"/>
      <c r="Y24" s="208"/>
      <c r="Z24" s="208"/>
      <c r="AA24" s="208"/>
      <c r="AB24" s="208"/>
      <c r="AC24" s="208"/>
      <c r="AD24" s="208"/>
      <c r="AE24" s="208"/>
      <c r="AF24" s="208"/>
      <c r="AG24" s="208"/>
      <c r="AH24" s="208"/>
      <c r="AI24" s="148">
        <f t="shared" ref="AI24" si="5">SUM(D24:AH24)</f>
        <v>0</v>
      </c>
      <c r="AJ24" s="149" t="str">
        <f>IFERROR(AI24/$AI$28,"")</f>
        <v/>
      </c>
      <c r="AK24" s="188"/>
      <c r="AL24" s="119"/>
    </row>
    <row r="25" spans="2:39" s="65" customFormat="1" ht="17.149999999999999" customHeight="1">
      <c r="B25" s="83" t="s">
        <v>56</v>
      </c>
      <c r="C25" s="84"/>
      <c r="D25" s="91">
        <f>D26</f>
        <v>0</v>
      </c>
      <c r="E25" s="91">
        <f t="shared" ref="E25:AH25" si="6">E26</f>
        <v>0</v>
      </c>
      <c r="F25" s="91">
        <f t="shared" si="6"/>
        <v>0</v>
      </c>
      <c r="G25" s="91">
        <f t="shared" si="6"/>
        <v>0</v>
      </c>
      <c r="H25" s="91">
        <f t="shared" si="6"/>
        <v>0</v>
      </c>
      <c r="I25" s="91">
        <f t="shared" si="6"/>
        <v>0</v>
      </c>
      <c r="J25" s="91">
        <f t="shared" si="6"/>
        <v>0</v>
      </c>
      <c r="K25" s="91">
        <f t="shared" si="6"/>
        <v>0</v>
      </c>
      <c r="L25" s="91">
        <f t="shared" si="6"/>
        <v>0</v>
      </c>
      <c r="M25" s="91">
        <f t="shared" si="6"/>
        <v>0</v>
      </c>
      <c r="N25" s="91">
        <f t="shared" si="6"/>
        <v>0</v>
      </c>
      <c r="O25" s="91">
        <f t="shared" si="6"/>
        <v>0</v>
      </c>
      <c r="P25" s="91">
        <f t="shared" si="6"/>
        <v>0</v>
      </c>
      <c r="Q25" s="91">
        <f t="shared" si="6"/>
        <v>0</v>
      </c>
      <c r="R25" s="91">
        <f t="shared" si="6"/>
        <v>0</v>
      </c>
      <c r="S25" s="91">
        <f t="shared" si="6"/>
        <v>0</v>
      </c>
      <c r="T25" s="91">
        <f t="shared" si="6"/>
        <v>0</v>
      </c>
      <c r="U25" s="91">
        <f t="shared" si="6"/>
        <v>0</v>
      </c>
      <c r="V25" s="91">
        <f t="shared" si="6"/>
        <v>0</v>
      </c>
      <c r="W25" s="91">
        <f t="shared" si="6"/>
        <v>0</v>
      </c>
      <c r="X25" s="91">
        <f t="shared" si="6"/>
        <v>0</v>
      </c>
      <c r="Y25" s="91">
        <f t="shared" si="6"/>
        <v>0</v>
      </c>
      <c r="Z25" s="91">
        <f t="shared" si="6"/>
        <v>0</v>
      </c>
      <c r="AA25" s="91">
        <f t="shared" si="6"/>
        <v>0</v>
      </c>
      <c r="AB25" s="91">
        <f t="shared" si="6"/>
        <v>0</v>
      </c>
      <c r="AC25" s="91">
        <f t="shared" si="6"/>
        <v>0</v>
      </c>
      <c r="AD25" s="91">
        <f t="shared" si="6"/>
        <v>0</v>
      </c>
      <c r="AE25" s="91">
        <f t="shared" si="6"/>
        <v>0</v>
      </c>
      <c r="AF25" s="91">
        <f t="shared" si="6"/>
        <v>0</v>
      </c>
      <c r="AG25" s="91">
        <f t="shared" si="6"/>
        <v>0</v>
      </c>
      <c r="AH25" s="91">
        <f t="shared" si="6"/>
        <v>0</v>
      </c>
      <c r="AI25" s="92"/>
      <c r="AJ25" s="82"/>
      <c r="AL25" s="120"/>
    </row>
    <row r="26" spans="2:39" s="64" customFormat="1" ht="17.149999999999999" customHeight="1">
      <c r="B26" s="318" t="s">
        <v>4</v>
      </c>
      <c r="C26" s="319"/>
      <c r="D26" s="93">
        <f t="shared" ref="D26:AH26" si="7">SUM(D4:D23)</f>
        <v>0</v>
      </c>
      <c r="E26" s="93">
        <f t="shared" si="7"/>
        <v>0</v>
      </c>
      <c r="F26" s="93">
        <f t="shared" si="7"/>
        <v>0</v>
      </c>
      <c r="G26" s="93">
        <f t="shared" si="7"/>
        <v>0</v>
      </c>
      <c r="H26" s="93">
        <f t="shared" si="7"/>
        <v>0</v>
      </c>
      <c r="I26" s="93">
        <f t="shared" si="7"/>
        <v>0</v>
      </c>
      <c r="J26" s="93">
        <f t="shared" si="7"/>
        <v>0</v>
      </c>
      <c r="K26" s="93">
        <f t="shared" si="7"/>
        <v>0</v>
      </c>
      <c r="L26" s="93">
        <f t="shared" si="7"/>
        <v>0</v>
      </c>
      <c r="M26" s="93">
        <f t="shared" si="7"/>
        <v>0</v>
      </c>
      <c r="N26" s="93">
        <f t="shared" si="7"/>
        <v>0</v>
      </c>
      <c r="O26" s="93">
        <f t="shared" si="7"/>
        <v>0</v>
      </c>
      <c r="P26" s="93">
        <f t="shared" si="7"/>
        <v>0</v>
      </c>
      <c r="Q26" s="93">
        <f t="shared" si="7"/>
        <v>0</v>
      </c>
      <c r="R26" s="93">
        <f t="shared" si="7"/>
        <v>0</v>
      </c>
      <c r="S26" s="93">
        <f t="shared" si="7"/>
        <v>0</v>
      </c>
      <c r="T26" s="93">
        <f t="shared" si="7"/>
        <v>0</v>
      </c>
      <c r="U26" s="93">
        <f t="shared" si="7"/>
        <v>0</v>
      </c>
      <c r="V26" s="93">
        <f t="shared" si="7"/>
        <v>0</v>
      </c>
      <c r="W26" s="93">
        <f t="shared" si="7"/>
        <v>0</v>
      </c>
      <c r="X26" s="93">
        <f t="shared" si="7"/>
        <v>0</v>
      </c>
      <c r="Y26" s="93">
        <f t="shared" si="7"/>
        <v>0</v>
      </c>
      <c r="Z26" s="93">
        <f t="shared" si="7"/>
        <v>0</v>
      </c>
      <c r="AA26" s="93">
        <f t="shared" si="7"/>
        <v>0</v>
      </c>
      <c r="AB26" s="93">
        <f t="shared" si="7"/>
        <v>0</v>
      </c>
      <c r="AC26" s="93">
        <f t="shared" si="7"/>
        <v>0</v>
      </c>
      <c r="AD26" s="93">
        <f t="shared" si="7"/>
        <v>0</v>
      </c>
      <c r="AE26" s="93">
        <f t="shared" si="7"/>
        <v>0</v>
      </c>
      <c r="AF26" s="93">
        <f t="shared" si="7"/>
        <v>0</v>
      </c>
      <c r="AG26" s="93">
        <f t="shared" si="7"/>
        <v>0</v>
      </c>
      <c r="AH26" s="93">
        <f t="shared" si="7"/>
        <v>0</v>
      </c>
      <c r="AI26" s="94">
        <f>SUM(D26:AH26)</f>
        <v>0</v>
      </c>
      <c r="AL26" s="192"/>
      <c r="AM26" s="65"/>
    </row>
    <row r="27" spans="2:39" s="65" customFormat="1" ht="17.149999999999999" customHeight="1">
      <c r="B27" s="83" t="s">
        <v>56</v>
      </c>
      <c r="C27" s="84"/>
      <c r="D27" s="91"/>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2"/>
      <c r="AL27" s="193"/>
    </row>
    <row r="28" spans="2:39" s="64" customFormat="1" ht="17.149999999999999" customHeight="1">
      <c r="B28" s="318" t="s">
        <v>5</v>
      </c>
      <c r="C28" s="319"/>
      <c r="D28" s="93">
        <f t="shared" ref="D28:AH28" si="8">SUM(D4:D24)</f>
        <v>0</v>
      </c>
      <c r="E28" s="93">
        <f t="shared" si="8"/>
        <v>0</v>
      </c>
      <c r="F28" s="93">
        <f t="shared" si="8"/>
        <v>0</v>
      </c>
      <c r="G28" s="93">
        <f t="shared" si="8"/>
        <v>0</v>
      </c>
      <c r="H28" s="93">
        <f t="shared" si="8"/>
        <v>0</v>
      </c>
      <c r="I28" s="93">
        <f t="shared" si="8"/>
        <v>0</v>
      </c>
      <c r="J28" s="93">
        <f t="shared" si="8"/>
        <v>0</v>
      </c>
      <c r="K28" s="93">
        <f t="shared" si="8"/>
        <v>0</v>
      </c>
      <c r="L28" s="93">
        <f t="shared" si="8"/>
        <v>0</v>
      </c>
      <c r="M28" s="93">
        <f t="shared" si="8"/>
        <v>0</v>
      </c>
      <c r="N28" s="93">
        <f t="shared" si="8"/>
        <v>0</v>
      </c>
      <c r="O28" s="93">
        <f t="shared" si="8"/>
        <v>0</v>
      </c>
      <c r="P28" s="93">
        <f t="shared" si="8"/>
        <v>0</v>
      </c>
      <c r="Q28" s="93">
        <f t="shared" si="8"/>
        <v>0</v>
      </c>
      <c r="R28" s="93">
        <f t="shared" si="8"/>
        <v>0</v>
      </c>
      <c r="S28" s="93">
        <f t="shared" si="8"/>
        <v>0</v>
      </c>
      <c r="T28" s="93">
        <f t="shared" si="8"/>
        <v>0</v>
      </c>
      <c r="U28" s="93">
        <f t="shared" si="8"/>
        <v>0</v>
      </c>
      <c r="V28" s="93">
        <f t="shared" si="8"/>
        <v>0</v>
      </c>
      <c r="W28" s="93">
        <f t="shared" si="8"/>
        <v>0</v>
      </c>
      <c r="X28" s="93">
        <f t="shared" si="8"/>
        <v>0</v>
      </c>
      <c r="Y28" s="93">
        <f t="shared" si="8"/>
        <v>0</v>
      </c>
      <c r="Z28" s="93">
        <f t="shared" si="8"/>
        <v>0</v>
      </c>
      <c r="AA28" s="93">
        <f t="shared" si="8"/>
        <v>0</v>
      </c>
      <c r="AB28" s="93">
        <f t="shared" si="8"/>
        <v>0</v>
      </c>
      <c r="AC28" s="93">
        <f t="shared" si="8"/>
        <v>0</v>
      </c>
      <c r="AD28" s="93">
        <f t="shared" si="8"/>
        <v>0</v>
      </c>
      <c r="AE28" s="93">
        <f t="shared" si="8"/>
        <v>0</v>
      </c>
      <c r="AF28" s="93">
        <f t="shared" si="8"/>
        <v>0</v>
      </c>
      <c r="AG28" s="93">
        <f t="shared" si="8"/>
        <v>0</v>
      </c>
      <c r="AH28" s="93">
        <f t="shared" si="8"/>
        <v>0</v>
      </c>
      <c r="AI28" s="94">
        <f>SUM(D28:AH28)</f>
        <v>0</v>
      </c>
      <c r="AL28" s="119"/>
      <c r="AM28" s="65"/>
    </row>
    <row r="29" spans="2:39" ht="17.25" customHeight="1">
      <c r="B29" s="53" t="s">
        <v>56</v>
      </c>
      <c r="C29" s="54"/>
      <c r="D29" s="47"/>
      <c r="E29" s="47"/>
      <c r="F29" s="47"/>
      <c r="G29" s="47"/>
      <c r="H29" s="47"/>
      <c r="I29" s="47"/>
      <c r="J29" s="47"/>
      <c r="K29" s="47"/>
      <c r="L29" s="47"/>
      <c r="M29" s="47"/>
      <c r="N29" s="47"/>
      <c r="O29" s="47"/>
      <c r="P29" s="47"/>
      <c r="Q29" s="47"/>
      <c r="R29" s="47"/>
      <c r="S29" s="47"/>
      <c r="T29" s="47"/>
      <c r="U29" s="47"/>
      <c r="V29" s="55"/>
      <c r="W29" s="55"/>
      <c r="X29" s="55"/>
      <c r="Y29" s="55"/>
      <c r="Z29" s="55"/>
      <c r="AA29" s="55"/>
      <c r="AB29" s="55"/>
      <c r="AC29" s="55"/>
      <c r="AD29" s="55"/>
      <c r="AE29" s="55"/>
      <c r="AF29" s="55"/>
      <c r="AG29" s="55"/>
      <c r="AH29" s="55"/>
      <c r="AI29" s="56"/>
      <c r="AM29" s="65"/>
    </row>
    <row r="30" spans="2:39" ht="15.5">
      <c r="B30" s="101" t="s">
        <v>8</v>
      </c>
      <c r="C30" s="102"/>
      <c r="D30" s="102"/>
      <c r="E30" s="102"/>
      <c r="F30" s="102"/>
      <c r="G30" s="103" t="s">
        <v>9</v>
      </c>
      <c r="H30" s="102"/>
      <c r="I30" s="11"/>
      <c r="J30" s="57"/>
      <c r="K30" s="11"/>
      <c r="L30" s="75"/>
      <c r="M30" s="11"/>
      <c r="N30" s="11"/>
      <c r="O30" s="11"/>
      <c r="P30" s="11"/>
      <c r="Q30" s="321" t="str">
        <f>'Start page'!D30</f>
        <v>• Missing information – Enter Project Acronym/name</v>
      </c>
      <c r="R30" s="321"/>
      <c r="S30" s="321"/>
      <c r="T30" s="321"/>
      <c r="U30" s="321"/>
      <c r="V30" s="321"/>
      <c r="W30" s="321"/>
      <c r="X30" s="321"/>
      <c r="Y30" s="321"/>
      <c r="Z30" s="321"/>
      <c r="AA30" s="321"/>
      <c r="AB30" s="321"/>
      <c r="AC30" s="321"/>
      <c r="AD30" s="321"/>
      <c r="AE30" s="321"/>
      <c r="AF30" s="321"/>
      <c r="AG30" s="321"/>
      <c r="AH30" s="321"/>
      <c r="AI30" s="321"/>
    </row>
    <row r="31" spans="2:39" ht="15.5">
      <c r="B31" s="104" t="s">
        <v>56</v>
      </c>
      <c r="C31" s="95"/>
      <c r="D31" s="95"/>
      <c r="E31" s="95"/>
      <c r="F31" s="102"/>
      <c r="G31" s="95"/>
      <c r="H31" s="95"/>
      <c r="I31" s="11"/>
      <c r="J31" s="47"/>
      <c r="K31" s="47"/>
      <c r="L31" s="76"/>
      <c r="M31" s="47"/>
      <c r="N31" s="47"/>
      <c r="O31" s="47"/>
      <c r="P31" s="47"/>
      <c r="Q31" s="321"/>
      <c r="R31" s="321"/>
      <c r="S31" s="321"/>
      <c r="T31" s="321"/>
      <c r="U31" s="321"/>
      <c r="V31" s="321"/>
      <c r="W31" s="321"/>
      <c r="X31" s="321"/>
      <c r="Y31" s="321"/>
      <c r="Z31" s="321"/>
      <c r="AA31" s="321"/>
      <c r="AB31" s="321"/>
      <c r="AC31" s="321"/>
      <c r="AD31" s="321"/>
      <c r="AE31" s="321"/>
      <c r="AF31" s="321"/>
      <c r="AG31" s="321"/>
      <c r="AH31" s="321"/>
      <c r="AI31" s="321"/>
      <c r="AJ31" s="325" t="s">
        <v>230</v>
      </c>
      <c r="AK31" s="326"/>
    </row>
    <row r="32" spans="2:39" ht="15.5">
      <c r="B32" s="105" t="s">
        <v>56</v>
      </c>
      <c r="C32" s="106"/>
      <c r="D32" s="106"/>
      <c r="E32" s="95"/>
      <c r="F32" s="102"/>
      <c r="G32" s="106"/>
      <c r="H32" s="107"/>
      <c r="I32" s="61"/>
      <c r="J32" s="61"/>
      <c r="K32" s="61"/>
      <c r="L32" s="61"/>
      <c r="M32" s="61"/>
      <c r="N32" s="61"/>
      <c r="O32" s="47"/>
      <c r="P32" s="47"/>
      <c r="Q32" s="65"/>
      <c r="R32" s="65"/>
      <c r="S32" s="47"/>
      <c r="T32" s="47"/>
      <c r="U32" s="47"/>
      <c r="V32" s="47"/>
      <c r="W32" s="47"/>
      <c r="X32" s="316"/>
      <c r="Y32" s="316"/>
      <c r="Z32" s="316"/>
      <c r="AA32" s="316"/>
      <c r="AB32" s="317"/>
      <c r="AC32" s="317"/>
      <c r="AD32" s="58"/>
      <c r="AE32" s="316"/>
      <c r="AF32" s="316"/>
      <c r="AG32" s="316"/>
      <c r="AH32" s="316"/>
      <c r="AI32" s="77"/>
      <c r="AJ32" s="195">
        <v>1</v>
      </c>
      <c r="AK32" s="196" t="s">
        <v>234</v>
      </c>
    </row>
    <row r="33" spans="2:37" ht="15.5">
      <c r="B33" s="108">
        <f>Member</f>
        <v>0</v>
      </c>
      <c r="C33" s="95"/>
      <c r="D33" s="95"/>
      <c r="E33" s="95"/>
      <c r="F33" s="102"/>
      <c r="G33" s="95">
        <f>Supervisor</f>
        <v>0</v>
      </c>
      <c r="H33" s="102"/>
      <c r="I33" s="11"/>
      <c r="J33" s="47"/>
      <c r="K33" s="47"/>
      <c r="L33" s="47"/>
      <c r="M33" s="47"/>
      <c r="N33" s="47"/>
      <c r="O33" s="47"/>
      <c r="P33" s="47"/>
      <c r="Q33" s="321" t="str">
        <f>'Start page'!D6</f>
        <v>• Missing information – Fill in all names and title/function on the Start Page</v>
      </c>
      <c r="R33" s="321"/>
      <c r="S33" s="321"/>
      <c r="T33" s="321"/>
      <c r="U33" s="321"/>
      <c r="V33" s="321"/>
      <c r="W33" s="321"/>
      <c r="X33" s="321"/>
      <c r="Y33" s="321"/>
      <c r="Z33" s="321"/>
      <c r="AA33" s="321"/>
      <c r="AB33" s="321"/>
      <c r="AC33" s="321"/>
      <c r="AD33" s="321"/>
      <c r="AE33" s="321"/>
      <c r="AF33" s="321"/>
      <c r="AG33" s="321"/>
      <c r="AH33" s="321"/>
      <c r="AI33" s="321"/>
      <c r="AJ33" s="197">
        <v>2</v>
      </c>
      <c r="AK33" s="198" t="s">
        <v>231</v>
      </c>
    </row>
    <row r="34" spans="2:37" ht="18.75" customHeight="1">
      <c r="B34" s="109">
        <f>Title.member</f>
        <v>0</v>
      </c>
      <c r="C34" s="102"/>
      <c r="D34" s="95"/>
      <c r="E34" s="102"/>
      <c r="F34" s="102"/>
      <c r="G34" s="102">
        <f>Title.supervisor</f>
        <v>0</v>
      </c>
      <c r="H34" s="95"/>
      <c r="I34" s="11"/>
      <c r="J34" s="60"/>
      <c r="K34" s="11"/>
      <c r="L34" s="11"/>
      <c r="M34" s="11"/>
      <c r="N34" s="11"/>
      <c r="O34" s="47"/>
      <c r="P34" s="47"/>
      <c r="Q34" s="65"/>
      <c r="R34" s="65"/>
      <c r="S34" s="47"/>
      <c r="T34" s="47"/>
      <c r="U34" s="47"/>
      <c r="V34" s="47"/>
      <c r="W34" s="47"/>
      <c r="X34" s="179"/>
      <c r="Y34" s="179"/>
      <c r="Z34" s="179"/>
      <c r="AA34" s="179"/>
      <c r="AB34" s="180"/>
      <c r="AC34" s="180"/>
      <c r="AD34" s="58"/>
      <c r="AE34" s="181"/>
      <c r="AF34" s="181"/>
      <c r="AG34" s="181"/>
      <c r="AH34" s="181"/>
      <c r="AI34" s="59"/>
      <c r="AJ34" s="62"/>
      <c r="AK34" s="34"/>
    </row>
    <row r="35" spans="2:37" ht="18.75" customHeight="1">
      <c r="B35" s="109" t="s">
        <v>72</v>
      </c>
      <c r="C35" s="102"/>
      <c r="D35" s="95"/>
      <c r="E35" s="102"/>
      <c r="F35" s="102"/>
      <c r="G35" s="102" t="s">
        <v>73</v>
      </c>
      <c r="H35" s="95"/>
      <c r="I35" s="11"/>
      <c r="J35" s="60"/>
      <c r="K35" s="11"/>
      <c r="L35" s="11"/>
      <c r="M35" s="11"/>
      <c r="N35" s="11"/>
      <c r="O35" s="47"/>
      <c r="P35" s="47"/>
      <c r="Q35" s="65"/>
      <c r="R35" s="65"/>
      <c r="S35" s="47"/>
      <c r="T35" s="47"/>
      <c r="U35" s="47"/>
      <c r="V35" s="47"/>
      <c r="W35" s="47"/>
      <c r="X35" s="316"/>
      <c r="Y35" s="316"/>
      <c r="Z35" s="316"/>
      <c r="AA35" s="316"/>
      <c r="AB35" s="317"/>
      <c r="AC35" s="317"/>
      <c r="AD35" s="58"/>
      <c r="AE35" s="320"/>
      <c r="AF35" s="320"/>
      <c r="AG35" s="320"/>
      <c r="AH35" s="320"/>
      <c r="AI35" s="59"/>
      <c r="AJ35" s="62"/>
    </row>
    <row r="36" spans="2:37" ht="12" customHeight="1">
      <c r="B36" s="109"/>
      <c r="C36" s="102"/>
      <c r="D36" s="95"/>
      <c r="E36" s="102"/>
      <c r="F36" s="102"/>
      <c r="G36" s="102"/>
      <c r="H36" s="95"/>
      <c r="I36" s="11"/>
      <c r="J36" s="60"/>
      <c r="K36" s="11"/>
      <c r="L36" s="11"/>
      <c r="M36" s="11"/>
      <c r="N36" s="11"/>
      <c r="O36" s="47"/>
      <c r="P36" s="47"/>
      <c r="Q36" s="65"/>
      <c r="R36" s="65"/>
      <c r="S36" s="47"/>
      <c r="T36" s="47"/>
      <c r="U36" s="47"/>
      <c r="V36" s="47"/>
      <c r="W36" s="47"/>
      <c r="X36" s="77"/>
      <c r="Y36" s="77"/>
      <c r="Z36" s="77"/>
      <c r="AA36" s="77"/>
      <c r="AB36" s="78"/>
      <c r="AC36" s="78"/>
      <c r="AD36" s="58"/>
      <c r="AE36" s="79"/>
      <c r="AF36" s="79"/>
      <c r="AG36" s="79"/>
      <c r="AH36" s="79"/>
      <c r="AI36" s="59"/>
      <c r="AJ36" s="62"/>
    </row>
    <row r="37" spans="2:37" ht="23.25" customHeight="1">
      <c r="B37" s="105" t="s">
        <v>56</v>
      </c>
      <c r="C37" s="95"/>
      <c r="D37" s="106"/>
      <c r="E37" s="102"/>
      <c r="F37" s="102"/>
      <c r="G37" s="106"/>
      <c r="H37" s="110" t="s">
        <v>56</v>
      </c>
      <c r="I37" s="61"/>
      <c r="J37" s="61"/>
      <c r="K37" s="61"/>
      <c r="L37" s="61"/>
      <c r="M37" s="61"/>
      <c r="N37" s="61"/>
      <c r="O37" s="47"/>
      <c r="P37" s="47"/>
      <c r="Q37" s="321" t="str">
        <f>'Start page'!D29</f>
        <v/>
      </c>
      <c r="R37" s="321"/>
      <c r="S37" s="321"/>
      <c r="T37" s="321"/>
      <c r="U37" s="321"/>
      <c r="V37" s="321"/>
      <c r="W37" s="321"/>
      <c r="X37" s="321"/>
      <c r="Y37" s="321"/>
      <c r="Z37" s="321"/>
      <c r="AA37" s="321"/>
      <c r="AB37" s="321"/>
      <c r="AC37" s="321"/>
      <c r="AD37" s="321"/>
      <c r="AE37" s="321"/>
      <c r="AF37" s="321"/>
      <c r="AG37" s="321"/>
      <c r="AH37" s="321"/>
      <c r="AI37" s="321"/>
      <c r="AJ37" s="47"/>
    </row>
    <row r="38" spans="2:37" ht="19.5" customHeight="1">
      <c r="B38" s="108" t="s">
        <v>1</v>
      </c>
      <c r="C38" s="108"/>
      <c r="D38" s="95"/>
      <c r="E38" s="102"/>
      <c r="F38" s="102"/>
      <c r="G38" s="95" t="s">
        <v>1</v>
      </c>
      <c r="H38" s="102"/>
      <c r="I38" s="47"/>
      <c r="J38" s="47"/>
      <c r="K38" s="47"/>
      <c r="L38" s="47"/>
      <c r="M38" s="47"/>
      <c r="N38" s="47"/>
      <c r="O38" s="47"/>
      <c r="P38" s="47"/>
      <c r="Q38" s="47"/>
      <c r="R38" s="65"/>
      <c r="S38" s="47"/>
      <c r="T38" s="47"/>
      <c r="U38" s="47"/>
      <c r="V38" s="47"/>
      <c r="W38" s="77"/>
      <c r="X38" s="77"/>
      <c r="Y38" s="77"/>
      <c r="Z38" s="77"/>
      <c r="AA38" s="79"/>
      <c r="AB38" s="79"/>
      <c r="AC38" s="77"/>
      <c r="AD38" s="77"/>
      <c r="AE38" s="77"/>
      <c r="AF38" s="77"/>
      <c r="AG38" s="77"/>
      <c r="AH38" s="77"/>
      <c r="AI38" s="47"/>
      <c r="AJ38" s="11"/>
    </row>
    <row r="39" spans="2:37">
      <c r="B39" s="37" t="s">
        <v>56</v>
      </c>
      <c r="C39" s="37">
        <f>ROW()</f>
        <v>39</v>
      </c>
      <c r="D39" s="64"/>
      <c r="E39" s="64"/>
      <c r="F39" s="64"/>
      <c r="G39" s="64"/>
      <c r="H39" s="64"/>
      <c r="I39" s="64"/>
      <c r="J39" s="64"/>
      <c r="K39" s="64"/>
      <c r="L39" s="64"/>
      <c r="M39" s="64"/>
      <c r="N39" s="64"/>
      <c r="O39" s="64"/>
      <c r="P39" s="65"/>
      <c r="Q39" s="65"/>
      <c r="R39" s="65"/>
      <c r="S39" s="65"/>
      <c r="T39" s="65"/>
      <c r="U39" s="65"/>
      <c r="V39" s="65"/>
      <c r="W39" s="65"/>
      <c r="X39" s="65"/>
      <c r="Y39" s="65"/>
      <c r="Z39" s="65"/>
      <c r="AA39" s="65"/>
      <c r="AB39" s="65"/>
      <c r="AC39" s="314"/>
      <c r="AD39" s="322"/>
      <c r="AE39" s="322"/>
      <c r="AF39" s="322"/>
      <c r="AG39" s="322"/>
      <c r="AH39" s="322"/>
      <c r="AI39" s="65"/>
    </row>
    <row r="40" spans="2:37">
      <c r="P40" s="34"/>
      <c r="Q40" s="34"/>
      <c r="R40" s="34"/>
      <c r="S40" s="34"/>
      <c r="T40" s="34"/>
      <c r="U40" s="34"/>
      <c r="V40" s="34"/>
      <c r="W40" s="34"/>
      <c r="X40" s="34"/>
      <c r="Y40" s="34"/>
      <c r="Z40" s="34"/>
      <c r="AA40" s="34"/>
      <c r="AB40" s="34"/>
      <c r="AC40" s="323"/>
      <c r="AD40" s="324"/>
      <c r="AE40" s="324"/>
      <c r="AF40" s="324"/>
      <c r="AG40" s="324"/>
      <c r="AH40" s="324"/>
      <c r="AI40" s="34"/>
    </row>
    <row r="41" spans="2:37">
      <c r="B41" s="306" t="s">
        <v>235</v>
      </c>
      <c r="C41" s="307"/>
      <c r="D41" s="307"/>
      <c r="E41" s="307"/>
      <c r="F41" s="307"/>
      <c r="G41" s="308"/>
      <c r="H41" s="308"/>
      <c r="I41" s="309"/>
      <c r="J41" s="309"/>
      <c r="K41" s="309"/>
      <c r="L41" s="309"/>
      <c r="M41" s="309"/>
      <c r="N41" s="309"/>
      <c r="O41" s="310"/>
      <c r="P41" s="34"/>
      <c r="Q41" s="34"/>
      <c r="R41" s="34"/>
      <c r="S41" s="34"/>
      <c r="T41" s="34"/>
      <c r="U41" s="34"/>
      <c r="V41" s="34"/>
      <c r="W41" s="34"/>
      <c r="X41" s="34"/>
      <c r="Y41" s="34"/>
      <c r="Z41" s="34"/>
      <c r="AA41" s="34"/>
      <c r="AB41" s="34"/>
      <c r="AC41" s="314"/>
      <c r="AD41" s="315"/>
      <c r="AE41" s="315"/>
      <c r="AF41" s="315"/>
      <c r="AG41" s="315"/>
      <c r="AH41" s="315"/>
      <c r="AI41" s="34"/>
    </row>
    <row r="42" spans="2:37">
      <c r="B42" s="311"/>
      <c r="C42" s="312"/>
      <c r="D42" s="312"/>
      <c r="E42" s="312"/>
      <c r="F42" s="312"/>
      <c r="G42" s="312"/>
      <c r="H42" s="312"/>
      <c r="I42" s="312"/>
      <c r="J42" s="312"/>
      <c r="K42" s="312"/>
      <c r="L42" s="312"/>
      <c r="M42" s="312"/>
      <c r="N42" s="312"/>
      <c r="O42" s="313"/>
      <c r="P42" s="34"/>
      <c r="Q42" s="34"/>
      <c r="R42" s="34"/>
      <c r="S42" s="34"/>
      <c r="T42" s="34"/>
      <c r="U42" s="34"/>
      <c r="V42" s="34"/>
      <c r="W42" s="34"/>
      <c r="X42" s="34"/>
      <c r="Y42" s="34"/>
      <c r="Z42" s="34"/>
      <c r="AA42" s="34"/>
      <c r="AB42" s="34"/>
      <c r="AC42" s="314"/>
      <c r="AD42" s="315"/>
      <c r="AE42" s="315"/>
      <c r="AF42" s="315"/>
      <c r="AG42" s="315"/>
      <c r="AH42" s="315"/>
      <c r="AI42" s="34"/>
    </row>
    <row r="43" spans="2:37">
      <c r="P43" s="34"/>
      <c r="Q43" s="34"/>
      <c r="R43" s="34"/>
      <c r="S43" s="34"/>
      <c r="T43" s="34"/>
      <c r="U43" s="34"/>
      <c r="V43" s="34"/>
      <c r="W43" s="34"/>
      <c r="X43" s="34"/>
      <c r="Y43" s="34"/>
      <c r="Z43" s="34"/>
      <c r="AA43" s="34"/>
      <c r="AB43" s="34"/>
      <c r="AC43" s="34"/>
      <c r="AD43" s="34"/>
      <c r="AE43" s="34"/>
      <c r="AF43" s="34"/>
      <c r="AG43" s="34"/>
      <c r="AH43" s="34"/>
      <c r="AI43" s="34"/>
    </row>
    <row r="44" spans="2:37">
      <c r="P44" s="34"/>
      <c r="Q44" s="34"/>
      <c r="R44" s="34"/>
      <c r="S44" s="34"/>
      <c r="T44" s="34"/>
      <c r="U44" s="34"/>
      <c r="V44" s="34"/>
      <c r="W44" s="34"/>
      <c r="X44" s="34"/>
      <c r="Y44" s="34"/>
      <c r="Z44" s="34"/>
      <c r="AA44" s="34"/>
      <c r="AB44" s="34"/>
      <c r="AC44" s="34"/>
      <c r="AD44" s="34"/>
      <c r="AE44" s="34"/>
      <c r="AF44" s="34"/>
      <c r="AG44" s="34"/>
      <c r="AH44" s="34"/>
      <c r="AI44" s="34"/>
    </row>
    <row r="45" spans="2:37"/>
    <row r="46" spans="2:37"/>
    <row r="47" spans="2:37"/>
    <row r="48" spans="2:37"/>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sheetData>
  <sheetProtection algorithmName="SHA-512" hashValue="XwULUZzUVByApfkJMBkxgICYWPlw/GCId/kYl0rLGKiH2qxIdkxIdeNgBc/svdEk4SLZZ9+gBzOgcpEwQzNk0g==" saltValue="suhDpeIe1aUqvTXGZ1rbjw==" spinCount="100000" sheet="1" selectLockedCells="1"/>
  <mergeCells count="38">
    <mergeCell ref="B15:C15"/>
    <mergeCell ref="B17:C17"/>
    <mergeCell ref="B20:C20"/>
    <mergeCell ref="B21:C21"/>
    <mergeCell ref="B22:C22"/>
    <mergeCell ref="B19:C19"/>
    <mergeCell ref="Q30:AI30"/>
    <mergeCell ref="AJ31:AK31"/>
    <mergeCell ref="B8:C8"/>
    <mergeCell ref="B4:C4"/>
    <mergeCell ref="B5:C5"/>
    <mergeCell ref="B6:C6"/>
    <mergeCell ref="B7:C7"/>
    <mergeCell ref="B23:C23"/>
    <mergeCell ref="B9:C9"/>
    <mergeCell ref="B10:C10"/>
    <mergeCell ref="B11:C11"/>
    <mergeCell ref="B12:C12"/>
    <mergeCell ref="B13:C13"/>
    <mergeCell ref="B18:C18"/>
    <mergeCell ref="B16:C16"/>
    <mergeCell ref="B14:C14"/>
    <mergeCell ref="B41:O42"/>
    <mergeCell ref="AC42:AH42"/>
    <mergeCell ref="AE32:AH32"/>
    <mergeCell ref="AB35:AC35"/>
    <mergeCell ref="B26:C26"/>
    <mergeCell ref="B28:C28"/>
    <mergeCell ref="AC41:AH41"/>
    <mergeCell ref="X35:AA35"/>
    <mergeCell ref="AE35:AH35"/>
    <mergeCell ref="X32:AA32"/>
    <mergeCell ref="AB32:AC32"/>
    <mergeCell ref="Q33:AI33"/>
    <mergeCell ref="Q37:AI37"/>
    <mergeCell ref="AC39:AH39"/>
    <mergeCell ref="AC40:AH40"/>
    <mergeCell ref="Q31:AI31"/>
  </mergeCells>
  <conditionalFormatting sqref="D4:AH23">
    <cfRule type="expression" dxfId="268" priority="287">
      <formula>D$2</formula>
    </cfRule>
  </conditionalFormatting>
  <conditionalFormatting sqref="J4:J23">
    <cfRule type="expression" dxfId="267" priority="307">
      <formula>J$2</formula>
    </cfRule>
  </conditionalFormatting>
  <conditionalFormatting sqref="D3:AH3">
    <cfRule type="expression" dxfId="266" priority="284">
      <formula>MATCH(D3,INDIRECT("Fixed_weekdays[DateInYear]"),0)&gt;0</formula>
    </cfRule>
  </conditionalFormatting>
  <conditionalFormatting sqref="D3:AH3">
    <cfRule type="expression" dxfId="265" priority="283">
      <formula>MATCH(D3,INDIRECT("Fixed_dates[DateInYear]"),0)&gt;0</formula>
    </cfRule>
  </conditionalFormatting>
  <conditionalFormatting sqref="D3:AH3">
    <cfRule type="expression" dxfId="264" priority="282">
      <formula>AND(INDEX(INDIRECT("Shortened[WorkHours]"),MATCH(D3,INDIRECT("Shortened[DateInYear]"),0),0)&gt;0,INDEX(INDIRECT("Shortened[WorkHours]"),MATCH(D3,INDIRECT("Shortened[DateInYear]"),0),0)&lt;8)</formula>
    </cfRule>
  </conditionalFormatting>
  <conditionalFormatting sqref="D3:AH3">
    <cfRule type="expression" dxfId="263" priority="281">
      <formula>AND(INDEX(INDIRECT("Clamp[WorkHours]"),MATCH(C3,INDIRECT("Clamp[DateInYear]"),0),0)&gt;0,INDEX(INDIRECT("Clamp[WorkHours]"),MATCH(C3,INDIRECT("Clamp[DateInYear]"),0),0)&lt;8)</formula>
    </cfRule>
  </conditionalFormatting>
  <conditionalFormatting sqref="D3:AH3">
    <cfRule type="expression" dxfId="262" priority="279">
      <formula>INDEX(INDIRECT("Shortened[WorkHours]"),MATCH(D3,INDIRECT("Shortened[DateInYear]"),0),0)&gt;7</formula>
    </cfRule>
    <cfRule type="expression" dxfId="261" priority="280">
      <formula>INDEX(INDIRECT("Clamp[WorkHours]"),MATCH(D3,INDIRECT("Clamp[DateInYear]"),0),0)&gt;7</formula>
    </cfRule>
  </conditionalFormatting>
  <conditionalFormatting sqref="D3:AH3">
    <cfRule type="expression" dxfId="260" priority="278">
      <formula>OR(WEEKDAY(D3,2)=6,WEEKDAY(D3,2)=7)</formula>
    </cfRule>
  </conditionalFormatting>
  <conditionalFormatting sqref="J18:J22">
    <cfRule type="expression" dxfId="259" priority="212">
      <formula>J$2</formula>
    </cfRule>
  </conditionalFormatting>
  <conditionalFormatting sqref="B4:C22">
    <cfRule type="containsText" dxfId="258" priority="21" operator="containsText" text="Other US">
      <formula>NOT(ISERROR(SEARCH("Other US",B4)))</formula>
    </cfRule>
    <cfRule type="containsText" dxfId="257" priority="22" operator="containsText" text="US Army">
      <formula>NOT(ISERROR(SEARCH("US Army",B4)))</formula>
    </cfRule>
    <cfRule type="containsText" dxfId="256" priority="24" operator="containsText" text="NIH">
      <formula>NOT(ISERROR(SEARCH("NIH",B4)))</formula>
    </cfRule>
    <cfRule type="containsText" dxfId="255" priority="25" operator="containsText" text="FP7">
      <formula>NOT(ISERROR(SEARCH("FP7",B4)))</formula>
    </cfRule>
    <cfRule type="containsText" dxfId="254" priority="26" operator="containsText" text="H2020">
      <formula>NOT(ISERROR(SEARCH("H2020",B4)))</formula>
    </cfRule>
    <cfRule type="containsText" dxfId="253" priority="27" operator="containsText" text="Sida">
      <formula>NOT(ISERROR(SEARCH("Sida",B4)))</formula>
    </cfRule>
    <cfRule type="containsText" dxfId="252" priority="28" operator="containsText" text="Other">
      <formula>NOT(ISERROR(SEARCH("Other",B4)))</formula>
    </cfRule>
  </conditionalFormatting>
  <conditionalFormatting sqref="D26:AH26">
    <cfRule type="cellIs" dxfId="251" priority="8" operator="greaterThan">
      <formula>24</formula>
    </cfRule>
    <cfRule type="cellIs" dxfId="250" priority="19" operator="greaterThan">
      <formula>14</formula>
    </cfRule>
  </conditionalFormatting>
  <conditionalFormatting sqref="D25:AH25">
    <cfRule type="iconSet" priority="16">
      <iconSet iconSet="3Flags">
        <cfvo type="percent" val="0"/>
        <cfvo type="percent" val="33"/>
        <cfvo type="percent" val="67"/>
      </iconSet>
    </cfRule>
  </conditionalFormatting>
  <conditionalFormatting sqref="D25:AH25">
    <cfRule type="iconSet" priority="15">
      <iconSet iconSet="3Flags">
        <cfvo type="percent" val="0"/>
        <cfvo type="percent" val="33"/>
        <cfvo type="percent" val="67"/>
      </iconSet>
    </cfRule>
  </conditionalFormatting>
  <conditionalFormatting sqref="AJ31">
    <cfRule type="expression" dxfId="249" priority="7">
      <formula>AK$2</formula>
    </cfRule>
  </conditionalFormatting>
  <dataValidations count="1">
    <dataValidation type="decimal" allowBlank="1" showInputMessage="1" showErrorMessage="1" errorTitle="ERROR !" error="You may report min 0,5 and max 24 hrs per WP or Project_x000a_" sqref="D4:AH23" xr:uid="{00000000-0002-0000-0400-000000000000}">
      <formula1>0.5</formula1>
      <formula2>24</formula2>
    </dataValidation>
  </dataValidations>
  <printOptions horizontalCentered="1" verticalCentered="1"/>
  <pageMargins left="0.23622047244094491" right="0.23622047244094491" top="0.74803149606299213" bottom="0" header="0.31496062992125984" footer="0"/>
  <pageSetup paperSize="9" scale="55" orientation="landscape" r:id="rId1"/>
  <headerFooter>
    <oddHeader>&amp;L&amp;G&amp;C&amp;24TIMESHEET</oddHeader>
  </headerFooter>
  <ignoredErrors>
    <ignoredError sqref="AI25 D27:AI27 AI7 AI8:AI12 AI13:AI17 AI18:AI22 AI23" unlockedFormula="1"/>
  </ignoredErrors>
  <legacyDrawingHF r:id="rId2"/>
  <extLst>
    <ext xmlns:x14="http://schemas.microsoft.com/office/spreadsheetml/2009/9/main" uri="{78C0D931-6437-407d-A8EE-F0AAD7539E65}">
      <x14:conditionalFormattings>
        <x14:conditionalFormatting xmlns:xm="http://schemas.microsoft.com/office/excel/2006/main">
          <x14:cfRule type="containsText" priority="23" operator="containsText" id="{15320E80-13BD-4EE9-88F8-7163F39DB06F}">
            <xm:f>NOT(ISERROR(SEARCH("Non-project",B4)))</xm:f>
            <xm:f>"Non-project"</xm:f>
            <x14:dxf>
              <fill>
                <patternFill>
                  <bgColor theme="6" tint="0.59996337778862885"/>
                </patternFill>
              </fill>
            </x14:dxf>
          </x14:cfRule>
          <xm:sqref>B4:C22</xm:sqref>
        </x14:conditionalFormatting>
        <x14:conditionalFormatting xmlns:xm="http://schemas.microsoft.com/office/excel/2006/main">
          <x14:cfRule type="iconSet" priority="11" id="{33259951-1C20-4F89-B724-71DC825ECD1D}">
            <x14:iconSet iconSet="3Flags" showValue="0" custom="1">
              <x14:cfvo type="percent">
                <xm:f>0</xm:f>
              </x14:cfvo>
              <x14:cfvo type="num" gte="0">
                <xm:f>14</xm:f>
              </x14:cfvo>
              <x14:cfvo type="num" gte="0">
                <xm:f>24</xm:f>
              </x14:cfvo>
              <x14:cfIcon iconSet="NoIcons" iconId="0"/>
              <x14:cfIcon iconSet="3Flags" iconId="1"/>
              <x14:cfIcon iconSet="3Flags" iconId="0"/>
            </x14:iconSet>
          </x14:cfRule>
          <xm:sqref>D25:AH25</xm:sqref>
        </x14:conditionalFormatting>
        <x14:conditionalFormatting xmlns:xm="http://schemas.microsoft.com/office/excel/2006/main">
          <x14:cfRule type="iconSet" priority="5" id="{81B48B45-8334-4B71-A533-47F317F9289F}">
            <x14:iconSet iconSet="3Flags" showValue="0" custom="1">
              <x14:cfvo type="percent">
                <xm:f>0</xm:f>
              </x14:cfvo>
              <x14:cfvo type="num">
                <xm:f>0</xm:f>
              </x14:cfvo>
              <x14:cfvo type="num" gte="0">
                <xm:f>0</xm:f>
              </x14:cfvo>
              <x14:cfIcon iconSet="NoIcons" iconId="0"/>
              <x14:cfIcon iconSet="NoIcons" iconId="0"/>
              <x14:cfIcon iconSet="3Flags" iconId="1"/>
            </x14:iconSet>
          </x14:cfRule>
          <xm:sqref>AL26</xm:sqref>
        </x14:conditionalFormatting>
        <x14:conditionalFormatting xmlns:xm="http://schemas.microsoft.com/office/excel/2006/main">
          <x14:cfRule type="iconSet" priority="4" id="{0CC5FB65-6EC5-418A-B14D-CB075A0C0220}">
            <x14:iconSet iconSet="3Flags" showValue="0" custom="1">
              <x14:cfvo type="percent">
                <xm:f>0</xm:f>
              </x14:cfvo>
              <x14:cfvo type="num">
                <xm:f>0</xm:f>
              </x14:cfvo>
              <x14:cfvo type="num" gte="0">
                <xm:f>0</xm:f>
              </x14:cfvo>
              <x14:cfIcon iconSet="NoIcons" iconId="0"/>
              <x14:cfIcon iconSet="NoIcons" iconId="0"/>
              <x14:cfIcon iconSet="3Flags" iconId="0"/>
            </x14:iconSet>
          </x14:cfRule>
          <xm:sqref>AL27</xm:sqref>
        </x14:conditionalFormatting>
        <x14:conditionalFormatting xmlns:xm="http://schemas.microsoft.com/office/excel/2006/main">
          <x14:cfRule type="iconSet" priority="3" id="{A10DEEDD-902E-4615-87E7-FEE194E2546D}">
            <x14:iconSet iconSet="3Flags" showValue="0" custom="1">
              <x14:cfvo type="percent">
                <xm:f>0</xm:f>
              </x14:cfvo>
              <x14:cfvo type="num">
                <xm:f>0</xm:f>
              </x14:cfvo>
              <x14:cfvo type="num" gte="0">
                <xm:f>0</xm:f>
              </x14:cfvo>
              <x14:cfIcon iconSet="NoIcons" iconId="0"/>
              <x14:cfIcon iconSet="NoIcons" iconId="0"/>
              <x14:cfIcon iconSet="3Flags" iconId="1"/>
            </x14:iconSet>
          </x14:cfRule>
          <xm:sqref>AJ32</xm:sqref>
        </x14:conditionalFormatting>
        <x14:conditionalFormatting xmlns:xm="http://schemas.microsoft.com/office/excel/2006/main">
          <x14:cfRule type="iconSet" priority="2" id="{A8BC471E-5FB0-42F4-849D-22D01259A198}">
            <x14:iconSet iconSet="3Flags" showValue="0" custom="1">
              <x14:cfvo type="percent">
                <xm:f>0</xm:f>
              </x14:cfvo>
              <x14:cfvo type="num">
                <xm:f>0</xm:f>
              </x14:cfvo>
              <x14:cfvo type="num" gte="0">
                <xm:f>0</xm:f>
              </x14:cfvo>
              <x14:cfIcon iconSet="NoIcons" iconId="0"/>
              <x14:cfIcon iconSet="NoIcons" iconId="0"/>
              <x14:cfIcon iconSet="3Flags" iconId="0"/>
            </x14:iconSet>
          </x14:cfRule>
          <xm:sqref>AJ33</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3">
    <tabColor theme="5" tint="-0.249977111117893"/>
    <pageSetUpPr fitToPage="1"/>
  </sheetPr>
  <dimension ref="B1:AO164"/>
  <sheetViews>
    <sheetView showGridLines="0" showZeros="0" zoomScale="40" zoomScaleNormal="40" zoomScaleSheetLayoutView="55" workbookViewId="0">
      <selection activeCell="D4" sqref="D4"/>
    </sheetView>
  </sheetViews>
  <sheetFormatPr defaultColWidth="0" defaultRowHeight="15" customHeight="1" zeroHeight="1"/>
  <cols>
    <col min="1" max="1" width="1.54296875" style="12" customWidth="1"/>
    <col min="2" max="3" width="25.7265625" style="12" customWidth="1"/>
    <col min="4" max="30" width="5.26953125" style="12" customWidth="1"/>
    <col min="31" max="31" width="5.81640625" style="12" customWidth="1"/>
    <col min="32" max="34" width="5.26953125" style="12" hidden="1" customWidth="1"/>
    <col min="35" max="35" width="8.26953125" style="12" customWidth="1"/>
    <col min="36" max="36" width="7.81640625" style="12" customWidth="1"/>
    <col min="37" max="37" width="29.81640625" style="12" customWidth="1"/>
    <col min="38" max="38" width="5.54296875" style="118" customWidth="1"/>
    <col min="39" max="16383" width="9.1796875" style="12" customWidth="1"/>
    <col min="16384" max="16384" width="2.1796875" style="12" customWidth="1"/>
  </cols>
  <sheetData>
    <row r="1" spans="2:38" ht="21">
      <c r="B1" s="96" t="s">
        <v>75</v>
      </c>
      <c r="C1" s="96">
        <f>Year</f>
        <v>2021</v>
      </c>
      <c r="D1" s="97"/>
      <c r="E1" s="97"/>
      <c r="F1" s="97"/>
      <c r="G1" s="97"/>
      <c r="H1" s="97"/>
      <c r="I1" s="97"/>
      <c r="J1" s="97"/>
      <c r="K1" s="97"/>
      <c r="L1" s="97"/>
      <c r="M1" s="97"/>
      <c r="N1" s="114"/>
      <c r="O1" s="97"/>
      <c r="P1" s="98" t="s">
        <v>6</v>
      </c>
      <c r="Q1" s="99">
        <f>Member</f>
        <v>0</v>
      </c>
      <c r="R1" s="97"/>
      <c r="S1" s="48"/>
      <c r="T1" s="48"/>
      <c r="U1" s="48"/>
      <c r="V1" s="48"/>
      <c r="W1" s="48"/>
      <c r="X1" s="48"/>
      <c r="Y1" s="48"/>
      <c r="Z1" s="48"/>
      <c r="AA1" s="48"/>
      <c r="AB1" s="48"/>
      <c r="AC1" s="115"/>
      <c r="AD1" s="48"/>
      <c r="AE1" s="34"/>
      <c r="AF1" s="48"/>
      <c r="AG1" s="48"/>
      <c r="AH1" s="48"/>
      <c r="AI1" s="34"/>
      <c r="AJ1" s="34"/>
    </row>
    <row r="2" spans="2:38" ht="12.75" customHeight="1">
      <c r="B2" s="36"/>
      <c r="C2" s="50">
        <f>C39</f>
        <v>39</v>
      </c>
      <c r="D2" s="50" t="b">
        <f ca="1">OR(OR(WEEKDAY(D3,2)=6,WEEKDAY(D3,2)=7),IFERROR(INDEX(INDIRECT("Shortened[WorkHours]"),MATCH(D3,INDIRECT("Shortened[DateInYear]"),0),0),0)&gt;7,IFERROR(INDEX(INDIRECT("Clamp[WorkHours]"),MATCH(D3,INDIRECT("Clamp[DateInYear]"),0),0),0)&gt;7,IFERROR(MATCH(D3,INDIRECT("Fixed_dates[DateInYear]"),0),0)&gt;0,IFERROR(MATCH(D3,INDIRECT("Fixed_weekdays[DateInYear]"),0),0)&gt;0)</f>
        <v>0</v>
      </c>
      <c r="E2" s="50" t="b">
        <f t="shared" ref="E2:AH2" ca="1" si="0">OR(OR(WEEKDAY(E3,2)=6,WEEKDAY(E3,2)=7),IFERROR(INDEX(INDIRECT("Shortened[WorkHours]"),MATCH(E3,INDIRECT("Shortened[DateInYear]"),0),0),0)&gt;7,IFERROR(INDEX(INDIRECT("Clamp[WorkHours]"),MATCH(E3,INDIRECT("Clamp[DateInYear]"),0),0),0)&gt;7,IFERROR(MATCH(E3,INDIRECT("Fixed_dates[DateInYear]"),0),0)&gt;0,IFERROR(MATCH(E3,INDIRECT("Fixed_weekdays[DateInYear]"),0),0)&gt;0)</f>
        <v>0</v>
      </c>
      <c r="F2" s="50" t="b">
        <f t="shared" ca="1" si="0"/>
        <v>0</v>
      </c>
      <c r="G2" s="50" t="b">
        <f t="shared" ca="1" si="0"/>
        <v>0</v>
      </c>
      <c r="H2" s="50" t="b">
        <f t="shared" ca="1" si="0"/>
        <v>0</v>
      </c>
      <c r="I2" s="50" t="b">
        <f t="shared" ca="1" si="0"/>
        <v>1</v>
      </c>
      <c r="J2" s="50" t="b">
        <f t="shared" ca="1" si="0"/>
        <v>1</v>
      </c>
      <c r="K2" s="50" t="b">
        <f t="shared" ca="1" si="0"/>
        <v>0</v>
      </c>
      <c r="L2" s="50" t="b">
        <f t="shared" ca="1" si="0"/>
        <v>0</v>
      </c>
      <c r="M2" s="50" t="b">
        <f t="shared" ca="1" si="0"/>
        <v>0</v>
      </c>
      <c r="N2" s="50" t="b">
        <f t="shared" ca="1" si="0"/>
        <v>0</v>
      </c>
      <c r="O2" s="50" t="b">
        <f t="shared" ca="1" si="0"/>
        <v>0</v>
      </c>
      <c r="P2" s="50" t="b">
        <f t="shared" ca="1" si="0"/>
        <v>1</v>
      </c>
      <c r="Q2" s="50" t="b">
        <f t="shared" ca="1" si="0"/>
        <v>1</v>
      </c>
      <c r="R2" s="116" t="b">
        <f t="shared" ca="1" si="0"/>
        <v>0</v>
      </c>
      <c r="S2" s="50" t="b">
        <f t="shared" ca="1" si="0"/>
        <v>0</v>
      </c>
      <c r="T2" s="50" t="b">
        <f t="shared" ca="1" si="0"/>
        <v>0</v>
      </c>
      <c r="U2" s="50" t="b">
        <f t="shared" ca="1" si="0"/>
        <v>0</v>
      </c>
      <c r="V2" s="50" t="b">
        <f t="shared" ca="1" si="0"/>
        <v>0</v>
      </c>
      <c r="W2" s="50" t="b">
        <f t="shared" ca="1" si="0"/>
        <v>1</v>
      </c>
      <c r="X2" s="50" t="b">
        <f t="shared" ca="1" si="0"/>
        <v>1</v>
      </c>
      <c r="Y2" s="50" t="b">
        <f t="shared" ca="1" si="0"/>
        <v>0</v>
      </c>
      <c r="Z2" s="50" t="b">
        <f t="shared" ca="1" si="0"/>
        <v>0</v>
      </c>
      <c r="AA2" s="50" t="b">
        <f t="shared" ca="1" si="0"/>
        <v>0</v>
      </c>
      <c r="AB2" s="50" t="b">
        <f t="shared" ca="1" si="0"/>
        <v>0</v>
      </c>
      <c r="AC2" s="50" t="b">
        <f t="shared" ca="1" si="0"/>
        <v>0</v>
      </c>
      <c r="AD2" s="50" t="b">
        <f t="shared" ca="1" si="0"/>
        <v>1</v>
      </c>
      <c r="AE2" s="50" t="b">
        <f t="shared" ca="1" si="0"/>
        <v>1</v>
      </c>
      <c r="AF2" s="50" t="b">
        <f ca="1">OR(OR(WEEKDAY(AF3,2)=6,WEEKDAY(AF3,2)=7),IFERROR(INDEX(INDIRECT("Shortened[WorkHours]"),MATCH(AF3,INDIRECT("Shortened[DateInYear]"),0),0),0)&gt;7,IFERROR(INDEX(INDIRECT("Clamp[WorkHours]"),MATCH(AF3,INDIRECT("Clamp[DateInYear]"),0),0),0)&gt;7,IFERROR(MATCH(AF3,INDIRECT("Fixed_dates[DateInYear]"),0),0)&gt;0,IFERROR(MATCH(AF3,INDIRECT("Fixed_weekdays[DateInYear]"),0),0)&gt;0)</f>
        <v>0</v>
      </c>
      <c r="AG2" s="50" t="b">
        <f t="shared" ca="1" si="0"/>
        <v>0</v>
      </c>
      <c r="AH2" s="50" t="b">
        <f t="shared" ca="1" si="0"/>
        <v>0</v>
      </c>
      <c r="AI2" s="100"/>
      <c r="AJ2" s="117"/>
    </row>
    <row r="3" spans="2:38" ht="17.149999999999999" customHeight="1">
      <c r="B3" s="85" t="s">
        <v>74</v>
      </c>
      <c r="C3" s="86"/>
      <c r="D3" s="87">
        <f>DATEVALUE(AloxÅr&amp;"-"&amp;VLOOKUP(LEFT(B1,3),Holidays!$M$4:$N$15,2,0)&amp;"-1")</f>
        <v>44228</v>
      </c>
      <c r="E3" s="87">
        <f>DATE(YEAR(D3),MONTH(D3),DAY(D3)+1)</f>
        <v>44229</v>
      </c>
      <c r="F3" s="87">
        <f t="shared" ref="F3:AH3" si="1">DATE(YEAR(E3),MONTH(E3),DAY(E3)+1)</f>
        <v>44230</v>
      </c>
      <c r="G3" s="87">
        <f t="shared" si="1"/>
        <v>44231</v>
      </c>
      <c r="H3" s="87">
        <f t="shared" si="1"/>
        <v>44232</v>
      </c>
      <c r="I3" s="87">
        <f t="shared" si="1"/>
        <v>44233</v>
      </c>
      <c r="J3" s="87">
        <f t="shared" si="1"/>
        <v>44234</v>
      </c>
      <c r="K3" s="87">
        <f t="shared" si="1"/>
        <v>44235</v>
      </c>
      <c r="L3" s="87">
        <f t="shared" si="1"/>
        <v>44236</v>
      </c>
      <c r="M3" s="87">
        <f t="shared" si="1"/>
        <v>44237</v>
      </c>
      <c r="N3" s="87">
        <f t="shared" si="1"/>
        <v>44238</v>
      </c>
      <c r="O3" s="87">
        <f t="shared" si="1"/>
        <v>44239</v>
      </c>
      <c r="P3" s="87">
        <f t="shared" si="1"/>
        <v>44240</v>
      </c>
      <c r="Q3" s="87">
        <f t="shared" si="1"/>
        <v>44241</v>
      </c>
      <c r="R3" s="87">
        <f t="shared" si="1"/>
        <v>44242</v>
      </c>
      <c r="S3" s="87">
        <f t="shared" si="1"/>
        <v>44243</v>
      </c>
      <c r="T3" s="87">
        <f t="shared" si="1"/>
        <v>44244</v>
      </c>
      <c r="U3" s="87">
        <f t="shared" si="1"/>
        <v>44245</v>
      </c>
      <c r="V3" s="87">
        <f t="shared" si="1"/>
        <v>44246</v>
      </c>
      <c r="W3" s="87">
        <f t="shared" si="1"/>
        <v>44247</v>
      </c>
      <c r="X3" s="87">
        <f t="shared" si="1"/>
        <v>44248</v>
      </c>
      <c r="Y3" s="87">
        <f t="shared" si="1"/>
        <v>44249</v>
      </c>
      <c r="Z3" s="87">
        <f t="shared" si="1"/>
        <v>44250</v>
      </c>
      <c r="AA3" s="87">
        <f t="shared" si="1"/>
        <v>44251</v>
      </c>
      <c r="AB3" s="87">
        <f t="shared" si="1"/>
        <v>44252</v>
      </c>
      <c r="AC3" s="87">
        <f t="shared" si="1"/>
        <v>44253</v>
      </c>
      <c r="AD3" s="87">
        <f t="shared" si="1"/>
        <v>44254</v>
      </c>
      <c r="AE3" s="87">
        <f t="shared" si="1"/>
        <v>44255</v>
      </c>
      <c r="AF3" s="87">
        <f t="shared" si="1"/>
        <v>44256</v>
      </c>
      <c r="AG3" s="87">
        <f t="shared" si="1"/>
        <v>44257</v>
      </c>
      <c r="AH3" s="87">
        <f t="shared" si="1"/>
        <v>44258</v>
      </c>
      <c r="AI3" s="113" t="s">
        <v>3</v>
      </c>
      <c r="AJ3" s="113" t="s">
        <v>97</v>
      </c>
      <c r="AK3" s="183" t="s">
        <v>213</v>
      </c>
    </row>
    <row r="4" spans="2:38" s="64" customFormat="1" ht="17.149999999999999" customHeight="1">
      <c r="B4" s="327" t="str">
        <f>IFERROR(Project.01&amp;" "&amp;WP.01&amp;" "&amp;Contract.01&amp;" "&amp;Type.01&amp;" "&amp;Activity.01," ")</f>
        <v xml:space="preserve">    </v>
      </c>
      <c r="C4" s="327"/>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191"/>
      <c r="AG4" s="191"/>
      <c r="AH4" s="191"/>
      <c r="AI4" s="89">
        <f>SUM(D4:AF4)</f>
        <v>0</v>
      </c>
      <c r="AJ4" s="111" t="str">
        <f t="shared" ref="AJ4:AJ23" si="2">IFERROR(AI4/$AI$26,"")</f>
        <v/>
      </c>
      <c r="AK4" s="188"/>
      <c r="AL4" s="119"/>
    </row>
    <row r="5" spans="2:38" s="64" customFormat="1" ht="17.149999999999999" customHeight="1">
      <c r="B5" s="327" t="str">
        <f>IFERROR(Project.02&amp;" "&amp;WP.02&amp;" "&amp;Contract.02&amp;" "&amp;Type.02&amp;" "&amp;Activity.02," ")</f>
        <v xml:space="preserve">    </v>
      </c>
      <c r="C5" s="327"/>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191"/>
      <c r="AG5" s="191"/>
      <c r="AH5" s="191"/>
      <c r="AI5" s="89">
        <f t="shared" ref="AI5:AI23" si="3">SUM(D5:AF5)</f>
        <v>0</v>
      </c>
      <c r="AJ5" s="111" t="str">
        <f t="shared" si="2"/>
        <v/>
      </c>
      <c r="AK5" s="188"/>
      <c r="AL5" s="119"/>
    </row>
    <row r="6" spans="2:38" s="64" customFormat="1" ht="17.149999999999999" customHeight="1">
      <c r="B6" s="327" t="str">
        <f>IFERROR(Project.03&amp;" "&amp;WP.03&amp;" "&amp;Contract.03&amp;" "&amp;Type.03&amp;" "&amp;Activity.03," ")</f>
        <v xml:space="preserve">    </v>
      </c>
      <c r="C6" s="327"/>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191"/>
      <c r="AG6" s="191"/>
      <c r="AH6" s="191"/>
      <c r="AI6" s="89">
        <f t="shared" si="3"/>
        <v>0</v>
      </c>
      <c r="AJ6" s="111" t="str">
        <f t="shared" si="2"/>
        <v/>
      </c>
      <c r="AK6" s="188"/>
      <c r="AL6" s="119"/>
    </row>
    <row r="7" spans="2:38" s="64" customFormat="1" ht="17.149999999999999" customHeight="1">
      <c r="B7" s="327" t="str">
        <f>IFERROR(Project.04&amp;" "&amp;WP.04&amp;" "&amp;Contract.04&amp;" "&amp;Type.04&amp;" "&amp;Activity.04," ")</f>
        <v xml:space="preserve">    </v>
      </c>
      <c r="C7" s="327"/>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191"/>
      <c r="AG7" s="191"/>
      <c r="AH7" s="191"/>
      <c r="AI7" s="89">
        <f t="shared" si="3"/>
        <v>0</v>
      </c>
      <c r="AJ7" s="111" t="str">
        <f t="shared" si="2"/>
        <v/>
      </c>
      <c r="AK7" s="188"/>
      <c r="AL7" s="119"/>
    </row>
    <row r="8" spans="2:38" s="64" customFormat="1" ht="17.149999999999999" customHeight="1">
      <c r="B8" s="327" t="str">
        <f>IFERROR(Project.05&amp;" "&amp;WP.05&amp;" "&amp;Contract.05&amp;" "&amp;Type.05&amp;" "&amp;Activity.05," ")</f>
        <v xml:space="preserve">    </v>
      </c>
      <c r="C8" s="327"/>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191"/>
      <c r="AG8" s="191"/>
      <c r="AH8" s="191"/>
      <c r="AI8" s="89">
        <f t="shared" si="3"/>
        <v>0</v>
      </c>
      <c r="AJ8" s="111" t="str">
        <f t="shared" si="2"/>
        <v/>
      </c>
      <c r="AK8" s="188"/>
      <c r="AL8" s="119"/>
    </row>
    <row r="9" spans="2:38" s="64" customFormat="1" ht="17.149999999999999" customHeight="1">
      <c r="B9" s="327" t="str">
        <f>IFERROR(Project.06&amp;" "&amp;WP.06&amp;" "&amp;Contract.06&amp;" "&amp;Type.06&amp;" "&amp;Activity.06," ")</f>
        <v xml:space="preserve">    </v>
      </c>
      <c r="C9" s="327"/>
      <c r="D9" s="88"/>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191"/>
      <c r="AG9" s="191"/>
      <c r="AH9" s="191"/>
      <c r="AI9" s="89">
        <f t="shared" si="3"/>
        <v>0</v>
      </c>
      <c r="AJ9" s="111" t="str">
        <f t="shared" si="2"/>
        <v/>
      </c>
      <c r="AK9" s="188"/>
      <c r="AL9" s="119"/>
    </row>
    <row r="10" spans="2:38" s="64" customFormat="1" ht="17.149999999999999" customHeight="1">
      <c r="B10" s="327" t="str">
        <f>IFERROR(Project.07&amp;" "&amp;WP.07&amp;" "&amp;Contract.07&amp;" "&amp;Type.07&amp;" "&amp;Activity.07," ")</f>
        <v xml:space="preserve">    </v>
      </c>
      <c r="C10" s="327"/>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191"/>
      <c r="AG10" s="191"/>
      <c r="AH10" s="191"/>
      <c r="AI10" s="89">
        <f t="shared" si="3"/>
        <v>0</v>
      </c>
      <c r="AJ10" s="111" t="str">
        <f t="shared" si="2"/>
        <v/>
      </c>
      <c r="AK10" s="188"/>
      <c r="AL10" s="119"/>
    </row>
    <row r="11" spans="2:38" s="64" customFormat="1" ht="17.149999999999999" customHeight="1">
      <c r="B11" s="327" t="str">
        <f>IFERROR(Project.08&amp;" "&amp;WP.08&amp;" "&amp;Contract.08&amp;" "&amp;Type.08&amp;" "&amp;Activity.08," ")</f>
        <v xml:space="preserve">    </v>
      </c>
      <c r="C11" s="327"/>
      <c r="D11" s="88"/>
      <c r="E11" s="88"/>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191"/>
      <c r="AG11" s="191"/>
      <c r="AH11" s="191"/>
      <c r="AI11" s="89">
        <f t="shared" si="3"/>
        <v>0</v>
      </c>
      <c r="AJ11" s="111" t="str">
        <f t="shared" si="2"/>
        <v/>
      </c>
      <c r="AK11" s="188"/>
      <c r="AL11" s="119"/>
    </row>
    <row r="12" spans="2:38" s="64" customFormat="1" ht="17.149999999999999" customHeight="1">
      <c r="B12" s="327" t="str">
        <f>(Project.09&amp;" "&amp;WP.09&amp;" "&amp;Contract.09&amp;" "&amp;Type.09&amp;" "&amp;Activity.09)</f>
        <v xml:space="preserve">    </v>
      </c>
      <c r="C12" s="327"/>
      <c r="D12" s="88"/>
      <c r="E12" s="88"/>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191"/>
      <c r="AG12" s="191"/>
      <c r="AH12" s="191"/>
      <c r="AI12" s="89">
        <f t="shared" si="3"/>
        <v>0</v>
      </c>
      <c r="AJ12" s="111" t="str">
        <f t="shared" si="2"/>
        <v/>
      </c>
      <c r="AK12" s="188"/>
      <c r="AL12" s="119"/>
    </row>
    <row r="13" spans="2:38" s="64" customFormat="1" ht="17.149999999999999" customHeight="1">
      <c r="B13" s="327" t="str">
        <f>IFERROR(Project.10&amp;" "&amp;WP.10&amp;" "&amp;Contract.10&amp;" "&amp;Type.10&amp;" "&amp;Activity.10," ")</f>
        <v xml:space="preserve">    </v>
      </c>
      <c r="C13" s="327"/>
      <c r="D13" s="88"/>
      <c r="E13" s="88"/>
      <c r="F13" s="88"/>
      <c r="G13" s="88"/>
      <c r="H13" s="88"/>
      <c r="I13" s="88"/>
      <c r="J13" s="88"/>
      <c r="K13" s="88"/>
      <c r="L13" s="88"/>
      <c r="M13" s="88"/>
      <c r="N13" s="88"/>
      <c r="O13" s="88"/>
      <c r="P13" s="88"/>
      <c r="Q13" s="88"/>
      <c r="R13" s="88"/>
      <c r="S13" s="88"/>
      <c r="T13" s="88"/>
      <c r="U13" s="88"/>
      <c r="V13" s="88"/>
      <c r="W13" s="88"/>
      <c r="X13" s="88"/>
      <c r="Y13" s="88"/>
      <c r="Z13" s="88"/>
      <c r="AA13" s="88"/>
      <c r="AB13" s="88"/>
      <c r="AC13" s="88"/>
      <c r="AD13" s="88"/>
      <c r="AE13" s="88"/>
      <c r="AF13" s="191"/>
      <c r="AG13" s="191"/>
      <c r="AH13" s="191"/>
      <c r="AI13" s="89">
        <f t="shared" si="3"/>
        <v>0</v>
      </c>
      <c r="AJ13" s="111" t="str">
        <f t="shared" si="2"/>
        <v/>
      </c>
      <c r="AK13" s="188"/>
      <c r="AL13" s="119"/>
    </row>
    <row r="14" spans="2:38" s="64" customFormat="1" ht="17.149999999999999" customHeight="1">
      <c r="B14" s="327" t="str">
        <f>IFERROR(Project.11&amp;" "&amp;WP.11&amp;" "&amp;Contract.11&amp;" "&amp;Type.11&amp;" "&amp;Activity.11," ")</f>
        <v xml:space="preserve">    </v>
      </c>
      <c r="C14" s="327"/>
      <c r="D14" s="88"/>
      <c r="E14" s="88"/>
      <c r="F14" s="88"/>
      <c r="G14" s="88"/>
      <c r="H14" s="88"/>
      <c r="I14" s="88"/>
      <c r="J14" s="88"/>
      <c r="K14" s="88"/>
      <c r="L14" s="88"/>
      <c r="M14" s="88"/>
      <c r="N14" s="88"/>
      <c r="O14" s="88"/>
      <c r="P14" s="88"/>
      <c r="Q14" s="88"/>
      <c r="R14" s="88"/>
      <c r="S14" s="88"/>
      <c r="T14" s="88"/>
      <c r="U14" s="88"/>
      <c r="V14" s="88"/>
      <c r="W14" s="88"/>
      <c r="X14" s="88"/>
      <c r="Y14" s="88"/>
      <c r="Z14" s="88"/>
      <c r="AA14" s="88"/>
      <c r="AB14" s="88"/>
      <c r="AC14" s="88"/>
      <c r="AD14" s="88"/>
      <c r="AE14" s="88"/>
      <c r="AF14" s="191"/>
      <c r="AG14" s="191"/>
      <c r="AH14" s="191"/>
      <c r="AI14" s="89">
        <f t="shared" si="3"/>
        <v>0</v>
      </c>
      <c r="AJ14" s="111" t="str">
        <f t="shared" si="2"/>
        <v/>
      </c>
      <c r="AK14" s="188"/>
      <c r="AL14" s="119"/>
    </row>
    <row r="15" spans="2:38" s="64" customFormat="1" ht="17.149999999999999" customHeight="1">
      <c r="B15" s="327" t="str">
        <f>IFERROR(Project.12&amp;" "&amp;WP.12&amp;" "&amp;Contract.12&amp;" "&amp;Type.12&amp;" "&amp;Activity.12," ")</f>
        <v xml:space="preserve">    </v>
      </c>
      <c r="C15" s="327"/>
      <c r="D15" s="88"/>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191"/>
      <c r="AG15" s="191"/>
      <c r="AH15" s="191"/>
      <c r="AI15" s="89">
        <f t="shared" si="3"/>
        <v>0</v>
      </c>
      <c r="AJ15" s="111" t="str">
        <f t="shared" si="2"/>
        <v/>
      </c>
      <c r="AK15" s="188"/>
      <c r="AL15" s="119"/>
    </row>
    <row r="16" spans="2:38" s="64" customFormat="1" ht="17.149999999999999" customHeight="1">
      <c r="B16" s="327" t="str">
        <f>IFERROR(Project.13&amp;" "&amp;WP.13&amp;" "&amp;Contract.13&amp;" "&amp;Type.13&amp;" "&amp;Activity.13," ")</f>
        <v xml:space="preserve">    </v>
      </c>
      <c r="C16" s="327"/>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191"/>
      <c r="AG16" s="190"/>
      <c r="AH16" s="190"/>
      <c r="AI16" s="89">
        <f t="shared" si="3"/>
        <v>0</v>
      </c>
      <c r="AJ16" s="111" t="str">
        <f t="shared" si="2"/>
        <v/>
      </c>
      <c r="AK16" s="188"/>
      <c r="AL16" s="119"/>
    </row>
    <row r="17" spans="2:41" s="64" customFormat="1" ht="17.149999999999999" customHeight="1">
      <c r="B17" s="327" t="str">
        <f>IFERROR(Project.14&amp;" "&amp;WP.14&amp;" "&amp;Contract.14&amp;" "&amp;Type.14&amp;" "&amp;Activity.14," ")</f>
        <v xml:space="preserve">    </v>
      </c>
      <c r="C17" s="327"/>
      <c r="D17" s="88"/>
      <c r="E17" s="88"/>
      <c r="F17" s="88"/>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191"/>
      <c r="AG17" s="190"/>
      <c r="AH17" s="190"/>
      <c r="AI17" s="89">
        <f t="shared" si="3"/>
        <v>0</v>
      </c>
      <c r="AJ17" s="111" t="str">
        <f t="shared" si="2"/>
        <v/>
      </c>
      <c r="AK17" s="188"/>
      <c r="AL17" s="119"/>
    </row>
    <row r="18" spans="2:41" s="64" customFormat="1" ht="17.149999999999999" customHeight="1">
      <c r="B18" s="327" t="str">
        <f>IFERROR(Project.15&amp;" "&amp;WP.15&amp;" "&amp;Contract.15&amp;" "&amp;Type.15&amp;" "&amp;Activity.15," ")</f>
        <v xml:space="preserve">    </v>
      </c>
      <c r="C18" s="327"/>
      <c r="D18" s="88"/>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191"/>
      <c r="AG18" s="191"/>
      <c r="AH18" s="191"/>
      <c r="AI18" s="89">
        <f t="shared" si="3"/>
        <v>0</v>
      </c>
      <c r="AJ18" s="111" t="str">
        <f t="shared" si="2"/>
        <v/>
      </c>
      <c r="AK18" s="188"/>
      <c r="AL18" s="119"/>
    </row>
    <row r="19" spans="2:41" s="64" customFormat="1" ht="17.149999999999999" customHeight="1">
      <c r="B19" s="327" t="str">
        <f>IFERROR(Project.16&amp;" "&amp;WP.16&amp;" "&amp;Contract.16&amp;" "&amp;Type.16&amp;" "&amp;Activity.16," ")</f>
        <v xml:space="preserve">    </v>
      </c>
      <c r="C19" s="327"/>
      <c r="D19" s="88"/>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191"/>
      <c r="AG19" s="191"/>
      <c r="AH19" s="191"/>
      <c r="AI19" s="89">
        <f t="shared" si="3"/>
        <v>0</v>
      </c>
      <c r="AJ19" s="111" t="str">
        <f t="shared" si="2"/>
        <v/>
      </c>
      <c r="AK19" s="188"/>
      <c r="AL19" s="119"/>
    </row>
    <row r="20" spans="2:41" s="64" customFormat="1" ht="17.149999999999999" customHeight="1">
      <c r="B20" s="327" t="str">
        <f>IFERROR(Project.17&amp;" "&amp;WP.17&amp;" "&amp;Contract.17&amp;" "&amp;Type.17&amp;" "&amp;Activity.17," ")</f>
        <v xml:space="preserve">    </v>
      </c>
      <c r="C20" s="327"/>
      <c r="D20" s="88"/>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191"/>
      <c r="AG20" s="191"/>
      <c r="AH20" s="191"/>
      <c r="AI20" s="89">
        <f t="shared" si="3"/>
        <v>0</v>
      </c>
      <c r="AJ20" s="111" t="str">
        <f t="shared" si="2"/>
        <v/>
      </c>
      <c r="AK20" s="188"/>
      <c r="AL20" s="119"/>
    </row>
    <row r="21" spans="2:41" s="64" customFormat="1" ht="17.149999999999999" customHeight="1">
      <c r="B21" s="327" t="str">
        <f>IFERROR(Project.18&amp;" "&amp;WP.18&amp;" "&amp;Contract.18&amp;" "&amp;Type.18&amp;" "&amp;Activity.18," ")</f>
        <v xml:space="preserve">    </v>
      </c>
      <c r="C21" s="327"/>
      <c r="D21" s="88"/>
      <c r="E21" s="88"/>
      <c r="F21" s="88"/>
      <c r="G21" s="88"/>
      <c r="H21" s="88"/>
      <c r="I21" s="88"/>
      <c r="J21" s="88"/>
      <c r="K21" s="88"/>
      <c r="L21" s="88"/>
      <c r="M21" s="88"/>
      <c r="N21" s="88"/>
      <c r="O21" s="88"/>
      <c r="P21" s="88"/>
      <c r="Q21" s="88"/>
      <c r="R21" s="88"/>
      <c r="S21" s="88"/>
      <c r="T21" s="88"/>
      <c r="U21" s="88"/>
      <c r="V21" s="88"/>
      <c r="W21" s="88"/>
      <c r="X21" s="88"/>
      <c r="Y21" s="88"/>
      <c r="Z21" s="88"/>
      <c r="AA21" s="88"/>
      <c r="AB21" s="88"/>
      <c r="AC21" s="88"/>
      <c r="AD21" s="88"/>
      <c r="AE21" s="88"/>
      <c r="AF21" s="191"/>
      <c r="AG21" s="191"/>
      <c r="AH21" s="191"/>
      <c r="AI21" s="89">
        <f t="shared" si="3"/>
        <v>0</v>
      </c>
      <c r="AJ21" s="111" t="str">
        <f t="shared" si="2"/>
        <v/>
      </c>
      <c r="AK21" s="188"/>
      <c r="AL21" s="119"/>
    </row>
    <row r="22" spans="2:41" s="64" customFormat="1" ht="17.149999999999999" customHeight="1">
      <c r="B22" s="327" t="str">
        <f>IFERROR(Project.19&amp;" "&amp;WP.19&amp;" "&amp;Contract.19&amp;" "&amp;Type.19&amp;" "&amp;Activity.19," ")</f>
        <v xml:space="preserve">    </v>
      </c>
      <c r="C22" s="327"/>
      <c r="D22" s="88"/>
      <c r="E22" s="88"/>
      <c r="F22" s="88"/>
      <c r="G22" s="88"/>
      <c r="H22" s="88"/>
      <c r="I22" s="88"/>
      <c r="J22" s="88"/>
      <c r="K22" s="88"/>
      <c r="L22" s="88"/>
      <c r="M22" s="88"/>
      <c r="N22" s="88"/>
      <c r="O22" s="88"/>
      <c r="P22" s="88"/>
      <c r="Q22" s="88"/>
      <c r="R22" s="88"/>
      <c r="S22" s="88"/>
      <c r="T22" s="88"/>
      <c r="U22" s="88"/>
      <c r="V22" s="88"/>
      <c r="W22" s="88"/>
      <c r="X22" s="88"/>
      <c r="Y22" s="88"/>
      <c r="Z22" s="88"/>
      <c r="AA22" s="88"/>
      <c r="AB22" s="88"/>
      <c r="AC22" s="88"/>
      <c r="AD22" s="88"/>
      <c r="AE22" s="88"/>
      <c r="AF22" s="191"/>
      <c r="AG22" s="191"/>
      <c r="AH22" s="191"/>
      <c r="AI22" s="89">
        <f t="shared" si="3"/>
        <v>0</v>
      </c>
      <c r="AJ22" s="111" t="str">
        <f t="shared" si="2"/>
        <v/>
      </c>
      <c r="AK22" s="188"/>
      <c r="AL22" s="119"/>
    </row>
    <row r="23" spans="2:41" s="64" customFormat="1" ht="17.149999999999999" customHeight="1">
      <c r="B23" s="328" t="str">
        <f>IFERROR(Project.20&amp;" "&amp;WP.20&amp;" "&amp;Contract.20&amp;" "&amp;Type.20&amp;" "&amp;Activity.20," ")</f>
        <v xml:space="preserve">OTHER HOURS WORKED    </v>
      </c>
      <c r="C23" s="328"/>
      <c r="D23" s="88"/>
      <c r="E23" s="88"/>
      <c r="F23" s="88"/>
      <c r="G23" s="88"/>
      <c r="H23" s="88"/>
      <c r="I23" s="88"/>
      <c r="J23" s="88"/>
      <c r="K23" s="88"/>
      <c r="L23" s="88"/>
      <c r="M23" s="88"/>
      <c r="N23" s="88"/>
      <c r="O23" s="88"/>
      <c r="P23" s="88"/>
      <c r="Q23" s="88"/>
      <c r="R23" s="88"/>
      <c r="S23" s="88"/>
      <c r="T23" s="88"/>
      <c r="U23" s="88"/>
      <c r="V23" s="88"/>
      <c r="W23" s="88"/>
      <c r="X23" s="88"/>
      <c r="Y23" s="88"/>
      <c r="Z23" s="88"/>
      <c r="AA23" s="88"/>
      <c r="AB23" s="88"/>
      <c r="AC23" s="88"/>
      <c r="AD23" s="88"/>
      <c r="AE23" s="88"/>
      <c r="AF23" s="191"/>
      <c r="AG23" s="191"/>
      <c r="AH23" s="191"/>
      <c r="AI23" s="89">
        <f t="shared" si="3"/>
        <v>0</v>
      </c>
      <c r="AJ23" s="111" t="str">
        <f t="shared" si="2"/>
        <v/>
      </c>
      <c r="AK23" s="188"/>
      <c r="AL23" s="119"/>
    </row>
    <row r="24" spans="2:41" s="64" customFormat="1" ht="17.149999999999999" customHeight="1">
      <c r="B24" s="207" t="s">
        <v>239</v>
      </c>
      <c r="C24" s="81"/>
      <c r="D24" s="208"/>
      <c r="E24" s="208"/>
      <c r="F24" s="208"/>
      <c r="G24" s="208"/>
      <c r="H24" s="208"/>
      <c r="I24" s="208"/>
      <c r="J24" s="208"/>
      <c r="K24" s="208"/>
      <c r="L24" s="208"/>
      <c r="M24" s="208"/>
      <c r="N24" s="208"/>
      <c r="O24" s="208"/>
      <c r="P24" s="208"/>
      <c r="Q24" s="208"/>
      <c r="R24" s="208"/>
      <c r="S24" s="208"/>
      <c r="T24" s="208"/>
      <c r="U24" s="208"/>
      <c r="V24" s="208"/>
      <c r="W24" s="208"/>
      <c r="X24" s="208"/>
      <c r="Y24" s="208"/>
      <c r="Z24" s="208"/>
      <c r="AA24" s="208"/>
      <c r="AB24" s="208"/>
      <c r="AC24" s="208"/>
      <c r="AD24" s="208"/>
      <c r="AE24" s="208"/>
      <c r="AF24" s="208"/>
      <c r="AG24" s="90"/>
      <c r="AH24" s="90"/>
      <c r="AI24" s="148">
        <f>SUM(D24:AF24)</f>
        <v>0</v>
      </c>
      <c r="AJ24" s="149" t="str">
        <f t="shared" ref="AJ24" si="4">IFERROR(AI24/$AI$28,"")</f>
        <v/>
      </c>
      <c r="AK24" s="188"/>
      <c r="AL24" s="119"/>
    </row>
    <row r="25" spans="2:41" s="65" customFormat="1" ht="17.149999999999999" customHeight="1">
      <c r="B25" s="83" t="s">
        <v>56</v>
      </c>
      <c r="C25" s="84"/>
      <c r="D25" s="91">
        <f>D26</f>
        <v>0</v>
      </c>
      <c r="E25" s="91">
        <f t="shared" ref="E25:AH25" si="5">E26</f>
        <v>0</v>
      </c>
      <c r="F25" s="91">
        <f t="shared" si="5"/>
        <v>0</v>
      </c>
      <c r="G25" s="91">
        <f t="shared" si="5"/>
        <v>0</v>
      </c>
      <c r="H25" s="91">
        <f t="shared" si="5"/>
        <v>0</v>
      </c>
      <c r="I25" s="91">
        <f t="shared" si="5"/>
        <v>0</v>
      </c>
      <c r="J25" s="91">
        <f t="shared" si="5"/>
        <v>0</v>
      </c>
      <c r="K25" s="91">
        <f t="shared" si="5"/>
        <v>0</v>
      </c>
      <c r="L25" s="91">
        <f t="shared" si="5"/>
        <v>0</v>
      </c>
      <c r="M25" s="91">
        <f t="shared" si="5"/>
        <v>0</v>
      </c>
      <c r="N25" s="91">
        <f t="shared" si="5"/>
        <v>0</v>
      </c>
      <c r="O25" s="91">
        <f t="shared" si="5"/>
        <v>0</v>
      </c>
      <c r="P25" s="91">
        <f t="shared" si="5"/>
        <v>0</v>
      </c>
      <c r="Q25" s="91">
        <f t="shared" si="5"/>
        <v>0</v>
      </c>
      <c r="R25" s="91">
        <f t="shared" si="5"/>
        <v>0</v>
      </c>
      <c r="S25" s="91">
        <f t="shared" si="5"/>
        <v>0</v>
      </c>
      <c r="T25" s="91">
        <f t="shared" si="5"/>
        <v>0</v>
      </c>
      <c r="U25" s="91">
        <f t="shared" si="5"/>
        <v>0</v>
      </c>
      <c r="V25" s="91">
        <f t="shared" si="5"/>
        <v>0</v>
      </c>
      <c r="W25" s="91">
        <f t="shared" si="5"/>
        <v>0</v>
      </c>
      <c r="X25" s="91">
        <f t="shared" si="5"/>
        <v>0</v>
      </c>
      <c r="Y25" s="91">
        <f t="shared" si="5"/>
        <v>0</v>
      </c>
      <c r="Z25" s="91">
        <f t="shared" si="5"/>
        <v>0</v>
      </c>
      <c r="AA25" s="91">
        <f t="shared" si="5"/>
        <v>0</v>
      </c>
      <c r="AB25" s="91">
        <f t="shared" si="5"/>
        <v>0</v>
      </c>
      <c r="AC25" s="91">
        <f t="shared" si="5"/>
        <v>0</v>
      </c>
      <c r="AD25" s="91">
        <f t="shared" si="5"/>
        <v>0</v>
      </c>
      <c r="AE25" s="91">
        <f t="shared" si="5"/>
        <v>0</v>
      </c>
      <c r="AF25" s="91">
        <f t="shared" si="5"/>
        <v>0</v>
      </c>
      <c r="AG25" s="91">
        <f t="shared" si="5"/>
        <v>0</v>
      </c>
      <c r="AH25" s="91">
        <f t="shared" si="5"/>
        <v>0</v>
      </c>
      <c r="AI25" s="92"/>
      <c r="AJ25" s="82"/>
      <c r="AL25" s="120"/>
    </row>
    <row r="26" spans="2:41" s="64" customFormat="1" ht="17.149999999999999" customHeight="1">
      <c r="B26" s="318" t="s">
        <v>4</v>
      </c>
      <c r="C26" s="319"/>
      <c r="D26" s="93">
        <f t="shared" ref="D26:AF26" si="6">SUM(D4:D23)</f>
        <v>0</v>
      </c>
      <c r="E26" s="93">
        <f t="shared" si="6"/>
        <v>0</v>
      </c>
      <c r="F26" s="93">
        <f t="shared" si="6"/>
        <v>0</v>
      </c>
      <c r="G26" s="93">
        <f t="shared" si="6"/>
        <v>0</v>
      </c>
      <c r="H26" s="93">
        <f t="shared" si="6"/>
        <v>0</v>
      </c>
      <c r="I26" s="93">
        <f t="shared" si="6"/>
        <v>0</v>
      </c>
      <c r="J26" s="93">
        <f t="shared" si="6"/>
        <v>0</v>
      </c>
      <c r="K26" s="93">
        <f t="shared" si="6"/>
        <v>0</v>
      </c>
      <c r="L26" s="93">
        <f t="shared" si="6"/>
        <v>0</v>
      </c>
      <c r="M26" s="93">
        <f t="shared" si="6"/>
        <v>0</v>
      </c>
      <c r="N26" s="93">
        <f t="shared" si="6"/>
        <v>0</v>
      </c>
      <c r="O26" s="93">
        <f t="shared" si="6"/>
        <v>0</v>
      </c>
      <c r="P26" s="93">
        <f t="shared" si="6"/>
        <v>0</v>
      </c>
      <c r="Q26" s="93">
        <f t="shared" si="6"/>
        <v>0</v>
      </c>
      <c r="R26" s="93">
        <f t="shared" si="6"/>
        <v>0</v>
      </c>
      <c r="S26" s="93">
        <f t="shared" si="6"/>
        <v>0</v>
      </c>
      <c r="T26" s="93">
        <f t="shared" si="6"/>
        <v>0</v>
      </c>
      <c r="U26" s="93">
        <f t="shared" si="6"/>
        <v>0</v>
      </c>
      <c r="V26" s="93">
        <f t="shared" si="6"/>
        <v>0</v>
      </c>
      <c r="W26" s="93">
        <f t="shared" si="6"/>
        <v>0</v>
      </c>
      <c r="X26" s="93">
        <f t="shared" si="6"/>
        <v>0</v>
      </c>
      <c r="Y26" s="93">
        <f t="shared" si="6"/>
        <v>0</v>
      </c>
      <c r="Z26" s="93">
        <f t="shared" si="6"/>
        <v>0</v>
      </c>
      <c r="AA26" s="93">
        <f t="shared" si="6"/>
        <v>0</v>
      </c>
      <c r="AB26" s="93">
        <f t="shared" si="6"/>
        <v>0</v>
      </c>
      <c r="AC26" s="93">
        <f t="shared" si="6"/>
        <v>0</v>
      </c>
      <c r="AD26" s="93">
        <f t="shared" si="6"/>
        <v>0</v>
      </c>
      <c r="AE26" s="93">
        <f t="shared" si="6"/>
        <v>0</v>
      </c>
      <c r="AF26" s="93">
        <f t="shared" si="6"/>
        <v>0</v>
      </c>
      <c r="AG26" s="93"/>
      <c r="AH26" s="93"/>
      <c r="AI26" s="94">
        <f>SUM(D26:AH26)</f>
        <v>0</v>
      </c>
      <c r="AJ26" s="82"/>
    </row>
    <row r="27" spans="2:41" s="65" customFormat="1" ht="17.149999999999999" customHeight="1">
      <c r="B27" s="83" t="s">
        <v>56</v>
      </c>
      <c r="C27" s="84"/>
      <c r="D27" s="91"/>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2"/>
      <c r="AJ27" s="84"/>
      <c r="AK27" s="64"/>
      <c r="AL27" s="64"/>
      <c r="AM27" s="64"/>
      <c r="AN27" s="64"/>
      <c r="AO27" s="64"/>
    </row>
    <row r="28" spans="2:41" s="64" customFormat="1" ht="17.149999999999999" customHeight="1">
      <c r="B28" s="318" t="s">
        <v>5</v>
      </c>
      <c r="C28" s="319"/>
      <c r="D28" s="93">
        <f t="shared" ref="D28:AF28" si="7">SUM(D4:D24)</f>
        <v>0</v>
      </c>
      <c r="E28" s="93">
        <f t="shared" si="7"/>
        <v>0</v>
      </c>
      <c r="F28" s="93">
        <f t="shared" si="7"/>
        <v>0</v>
      </c>
      <c r="G28" s="93">
        <f t="shared" si="7"/>
        <v>0</v>
      </c>
      <c r="H28" s="93">
        <f t="shared" si="7"/>
        <v>0</v>
      </c>
      <c r="I28" s="93">
        <f t="shared" si="7"/>
        <v>0</v>
      </c>
      <c r="J28" s="93">
        <f t="shared" si="7"/>
        <v>0</v>
      </c>
      <c r="K28" s="93">
        <f t="shared" si="7"/>
        <v>0</v>
      </c>
      <c r="L28" s="93">
        <f t="shared" si="7"/>
        <v>0</v>
      </c>
      <c r="M28" s="93">
        <f t="shared" si="7"/>
        <v>0</v>
      </c>
      <c r="N28" s="93">
        <f t="shared" si="7"/>
        <v>0</v>
      </c>
      <c r="O28" s="93">
        <f t="shared" si="7"/>
        <v>0</v>
      </c>
      <c r="P28" s="93">
        <f t="shared" si="7"/>
        <v>0</v>
      </c>
      <c r="Q28" s="93">
        <f t="shared" si="7"/>
        <v>0</v>
      </c>
      <c r="R28" s="93">
        <f t="shared" si="7"/>
        <v>0</v>
      </c>
      <c r="S28" s="93">
        <f t="shared" si="7"/>
        <v>0</v>
      </c>
      <c r="T28" s="93">
        <f t="shared" si="7"/>
        <v>0</v>
      </c>
      <c r="U28" s="93">
        <f t="shared" si="7"/>
        <v>0</v>
      </c>
      <c r="V28" s="93">
        <f t="shared" si="7"/>
        <v>0</v>
      </c>
      <c r="W28" s="93">
        <f t="shared" si="7"/>
        <v>0</v>
      </c>
      <c r="X28" s="93">
        <f t="shared" si="7"/>
        <v>0</v>
      </c>
      <c r="Y28" s="93">
        <f t="shared" si="7"/>
        <v>0</v>
      </c>
      <c r="Z28" s="93">
        <f t="shared" si="7"/>
        <v>0</v>
      </c>
      <c r="AA28" s="93">
        <f t="shared" si="7"/>
        <v>0</v>
      </c>
      <c r="AB28" s="93">
        <f t="shared" si="7"/>
        <v>0</v>
      </c>
      <c r="AC28" s="93">
        <f t="shared" si="7"/>
        <v>0</v>
      </c>
      <c r="AD28" s="93">
        <f t="shared" si="7"/>
        <v>0</v>
      </c>
      <c r="AE28" s="93">
        <f t="shared" si="7"/>
        <v>0</v>
      </c>
      <c r="AF28" s="93">
        <f t="shared" si="7"/>
        <v>0</v>
      </c>
      <c r="AG28" s="93"/>
      <c r="AH28" s="93"/>
      <c r="AI28" s="94">
        <f>SUM(D28:AH28)</f>
        <v>0</v>
      </c>
      <c r="AJ28" s="82"/>
    </row>
    <row r="29" spans="2:41" ht="17.25" customHeight="1">
      <c r="B29" s="53" t="s">
        <v>56</v>
      </c>
      <c r="C29" s="54"/>
      <c r="D29" s="47"/>
      <c r="E29" s="47"/>
      <c r="F29" s="47"/>
      <c r="G29" s="47"/>
      <c r="H29" s="47"/>
      <c r="I29" s="47"/>
      <c r="J29" s="47"/>
      <c r="K29" s="47"/>
      <c r="L29" s="47"/>
      <c r="M29" s="47"/>
      <c r="N29" s="47"/>
      <c r="O29" s="47"/>
      <c r="P29" s="47"/>
      <c r="Q29" s="47"/>
      <c r="R29" s="47"/>
      <c r="S29" s="47"/>
      <c r="T29" s="47"/>
      <c r="U29" s="47"/>
      <c r="V29" s="55"/>
      <c r="W29" s="55"/>
      <c r="X29" s="55"/>
      <c r="Y29" s="55"/>
      <c r="Z29" s="55"/>
      <c r="AA29" s="55"/>
      <c r="AB29" s="55"/>
      <c r="AC29" s="55"/>
      <c r="AD29" s="55"/>
      <c r="AE29" s="55"/>
      <c r="AF29" s="55"/>
      <c r="AG29" s="55"/>
      <c r="AH29" s="55"/>
      <c r="AI29" s="56"/>
      <c r="AJ29" s="11"/>
    </row>
    <row r="30" spans="2:41" ht="17.25" customHeight="1">
      <c r="B30" s="101" t="s">
        <v>8</v>
      </c>
      <c r="C30" s="102"/>
      <c r="D30" s="102"/>
      <c r="E30" s="102"/>
      <c r="F30" s="102"/>
      <c r="G30" s="103" t="s">
        <v>9</v>
      </c>
      <c r="H30" s="102"/>
      <c r="I30" s="11"/>
      <c r="J30" s="57"/>
      <c r="K30" s="11"/>
      <c r="L30" s="75"/>
      <c r="M30" s="11"/>
      <c r="N30" s="11"/>
      <c r="O30" s="11"/>
      <c r="P30" s="11"/>
      <c r="Q30" s="331" t="str">
        <f>'Start page'!D30</f>
        <v>• Missing information – Enter Project Acronym/name</v>
      </c>
      <c r="R30" s="331"/>
      <c r="S30" s="331"/>
      <c r="T30" s="331"/>
      <c r="U30" s="331"/>
      <c r="V30" s="331"/>
      <c r="W30" s="331"/>
      <c r="X30" s="331"/>
      <c r="Y30" s="331"/>
      <c r="Z30" s="331"/>
      <c r="AA30" s="331"/>
      <c r="AB30" s="331"/>
      <c r="AC30" s="331"/>
      <c r="AD30" s="331"/>
      <c r="AE30" s="331"/>
      <c r="AF30" s="331"/>
      <c r="AG30" s="331"/>
      <c r="AH30" s="331"/>
      <c r="AI30" s="331"/>
      <c r="AJ30" s="58"/>
    </row>
    <row r="31" spans="2:41" ht="12" customHeight="1">
      <c r="B31" s="104" t="s">
        <v>56</v>
      </c>
      <c r="C31" s="95"/>
      <c r="D31" s="95"/>
      <c r="E31" s="95"/>
      <c r="F31" s="102"/>
      <c r="G31" s="95"/>
      <c r="H31" s="95"/>
      <c r="I31" s="11"/>
      <c r="J31" s="47"/>
      <c r="K31" s="47"/>
      <c r="L31" s="76"/>
      <c r="M31" s="47"/>
      <c r="N31" s="47"/>
      <c r="O31" s="47"/>
      <c r="P31" s="47"/>
      <c r="Q31" s="331"/>
      <c r="R31" s="331"/>
      <c r="S31" s="331"/>
      <c r="T31" s="331"/>
      <c r="U31" s="331"/>
      <c r="V31" s="331"/>
      <c r="W31" s="331"/>
      <c r="X31" s="331"/>
      <c r="Y31" s="331"/>
      <c r="Z31" s="331"/>
      <c r="AA31" s="331"/>
      <c r="AB31" s="331"/>
      <c r="AC31" s="331"/>
      <c r="AD31" s="331"/>
      <c r="AE31" s="331"/>
      <c r="AF31" s="331"/>
      <c r="AG31" s="331"/>
      <c r="AH31" s="331"/>
      <c r="AI31" s="331"/>
      <c r="AJ31" s="58"/>
    </row>
    <row r="32" spans="2:41" ht="12" customHeight="1">
      <c r="B32" s="105" t="s">
        <v>56</v>
      </c>
      <c r="C32" s="106"/>
      <c r="D32" s="106"/>
      <c r="E32" s="95"/>
      <c r="F32" s="102"/>
      <c r="G32" s="106"/>
      <c r="H32" s="107"/>
      <c r="I32" s="61"/>
      <c r="J32" s="61"/>
      <c r="K32" s="61"/>
      <c r="L32" s="61"/>
      <c r="M32" s="61"/>
      <c r="N32" s="61"/>
      <c r="O32" s="47"/>
      <c r="P32" s="47"/>
      <c r="Q32" s="65"/>
      <c r="R32" s="65"/>
      <c r="S32" s="47"/>
      <c r="T32" s="47"/>
      <c r="U32" s="47"/>
      <c r="V32" s="47"/>
      <c r="W32" s="47"/>
      <c r="X32" s="316"/>
      <c r="Y32" s="316"/>
      <c r="Z32" s="316"/>
      <c r="AA32" s="316"/>
      <c r="AB32" s="317"/>
      <c r="AC32" s="317"/>
      <c r="AD32" s="58"/>
      <c r="AE32" s="316"/>
      <c r="AF32" s="316"/>
      <c r="AG32" s="316"/>
      <c r="AH32" s="316"/>
      <c r="AI32" s="77"/>
      <c r="AJ32" s="47"/>
    </row>
    <row r="33" spans="2:38" ht="15.5">
      <c r="B33" s="108">
        <f>Member</f>
        <v>0</v>
      </c>
      <c r="C33" s="95"/>
      <c r="D33" s="95"/>
      <c r="E33" s="95"/>
      <c r="F33" s="102"/>
      <c r="G33" s="95">
        <f>Supervisor</f>
        <v>0</v>
      </c>
      <c r="H33" s="102"/>
      <c r="I33" s="11"/>
      <c r="J33" s="47"/>
      <c r="K33" s="47"/>
      <c r="L33" s="47"/>
      <c r="M33" s="47"/>
      <c r="N33" s="47"/>
      <c r="O33" s="47"/>
      <c r="P33" s="47"/>
      <c r="Q33" s="331" t="str">
        <f>'Start page'!D6</f>
        <v>• Missing information – Fill in all names and title/function on the Start Page</v>
      </c>
      <c r="R33" s="331"/>
      <c r="S33" s="331"/>
      <c r="T33" s="331"/>
      <c r="U33" s="331"/>
      <c r="V33" s="331"/>
      <c r="W33" s="331"/>
      <c r="X33" s="331"/>
      <c r="Y33" s="331"/>
      <c r="Z33" s="331"/>
      <c r="AA33" s="331"/>
      <c r="AB33" s="331"/>
      <c r="AC33" s="331"/>
      <c r="AD33" s="331"/>
      <c r="AE33" s="331"/>
      <c r="AF33" s="331"/>
      <c r="AG33" s="331"/>
      <c r="AH33" s="331"/>
      <c r="AI33" s="331"/>
      <c r="AJ33" s="332"/>
    </row>
    <row r="34" spans="2:38" ht="15.5">
      <c r="B34" s="109">
        <f>Title.member</f>
        <v>0</v>
      </c>
      <c r="C34" s="102"/>
      <c r="D34" s="95"/>
      <c r="E34" s="102"/>
      <c r="F34" s="102"/>
      <c r="G34" s="102">
        <f>Title.supervisor</f>
        <v>0</v>
      </c>
      <c r="H34" s="95"/>
      <c r="I34" s="11"/>
      <c r="J34" s="60"/>
      <c r="K34" s="11"/>
      <c r="L34" s="11"/>
      <c r="M34" s="11"/>
      <c r="N34" s="11"/>
      <c r="O34" s="47"/>
      <c r="P34" s="47"/>
      <c r="Q34" s="65"/>
      <c r="R34" s="65"/>
      <c r="S34" s="47"/>
      <c r="T34" s="47"/>
      <c r="U34" s="47"/>
      <c r="V34" s="47"/>
      <c r="W34" s="47"/>
      <c r="X34" s="179"/>
      <c r="Y34" s="179"/>
      <c r="Z34" s="179"/>
      <c r="AA34" s="179"/>
      <c r="AB34" s="180"/>
      <c r="AC34" s="180"/>
      <c r="AD34" s="58"/>
      <c r="AE34" s="181"/>
      <c r="AF34" s="181"/>
      <c r="AG34" s="181"/>
      <c r="AH34" s="181"/>
      <c r="AI34" s="59"/>
      <c r="AJ34" s="325" t="s">
        <v>230</v>
      </c>
      <c r="AK34" s="326"/>
    </row>
    <row r="35" spans="2:38" ht="15.5">
      <c r="B35" s="109" t="s">
        <v>72</v>
      </c>
      <c r="C35" s="102"/>
      <c r="D35" s="95"/>
      <c r="E35" s="102"/>
      <c r="F35" s="102"/>
      <c r="G35" s="102" t="s">
        <v>73</v>
      </c>
      <c r="H35" s="95"/>
      <c r="I35" s="11"/>
      <c r="J35" s="60"/>
      <c r="K35" s="11"/>
      <c r="L35" s="11"/>
      <c r="M35" s="11"/>
      <c r="N35" s="11"/>
      <c r="O35" s="47"/>
      <c r="P35" s="47"/>
      <c r="Q35" s="65"/>
      <c r="R35" s="65"/>
      <c r="S35" s="47"/>
      <c r="T35" s="47"/>
      <c r="U35" s="47"/>
      <c r="V35" s="47"/>
      <c r="W35" s="47"/>
      <c r="X35" s="316"/>
      <c r="Y35" s="316"/>
      <c r="Z35" s="316"/>
      <c r="AA35" s="316"/>
      <c r="AB35" s="317"/>
      <c r="AC35" s="317"/>
      <c r="AD35" s="58"/>
      <c r="AE35" s="320"/>
      <c r="AF35" s="320"/>
      <c r="AG35" s="320"/>
      <c r="AH35" s="320"/>
      <c r="AI35" s="59"/>
      <c r="AJ35" s="195">
        <v>1</v>
      </c>
      <c r="AK35" s="196" t="s">
        <v>234</v>
      </c>
    </row>
    <row r="36" spans="2:38" ht="15.5">
      <c r="B36" s="109"/>
      <c r="C36" s="102"/>
      <c r="D36" s="95"/>
      <c r="E36" s="102"/>
      <c r="F36" s="102"/>
      <c r="G36" s="102"/>
      <c r="H36" s="95"/>
      <c r="I36" s="11"/>
      <c r="J36" s="60"/>
      <c r="K36" s="11"/>
      <c r="L36" s="11"/>
      <c r="M36" s="11"/>
      <c r="N36" s="11"/>
      <c r="O36" s="47"/>
      <c r="P36" s="47"/>
      <c r="Q36" s="65"/>
      <c r="R36" s="65"/>
      <c r="S36" s="47"/>
      <c r="T36" s="47"/>
      <c r="U36" s="47"/>
      <c r="V36" s="47"/>
      <c r="W36" s="47"/>
      <c r="X36" s="77"/>
      <c r="Y36" s="77"/>
      <c r="Z36" s="77"/>
      <c r="AA36" s="77"/>
      <c r="AB36" s="78"/>
      <c r="AC36" s="78"/>
      <c r="AD36" s="58"/>
      <c r="AE36" s="79"/>
      <c r="AF36" s="79"/>
      <c r="AG36" s="79"/>
      <c r="AH36" s="79"/>
      <c r="AI36" s="59"/>
      <c r="AJ36" s="197">
        <v>2</v>
      </c>
      <c r="AK36" s="198" t="s">
        <v>231</v>
      </c>
    </row>
    <row r="37" spans="2:38" ht="15.5">
      <c r="B37" s="105" t="s">
        <v>56</v>
      </c>
      <c r="C37" s="95"/>
      <c r="D37" s="106"/>
      <c r="E37" s="102"/>
      <c r="F37" s="102"/>
      <c r="G37" s="106"/>
      <c r="H37" s="110" t="s">
        <v>56</v>
      </c>
      <c r="I37" s="61"/>
      <c r="J37" s="61"/>
      <c r="K37" s="61"/>
      <c r="L37" s="61"/>
      <c r="M37" s="61"/>
      <c r="N37" s="61"/>
      <c r="O37" s="47"/>
      <c r="P37" s="47"/>
      <c r="Q37" s="331" t="str">
        <f>'Start page'!D29</f>
        <v/>
      </c>
      <c r="R37" s="331"/>
      <c r="S37" s="331"/>
      <c r="T37" s="331"/>
      <c r="U37" s="331"/>
      <c r="V37" s="331"/>
      <c r="W37" s="331"/>
      <c r="X37" s="331"/>
      <c r="Y37" s="331"/>
      <c r="Z37" s="331"/>
      <c r="AA37" s="331"/>
      <c r="AB37" s="331"/>
      <c r="AC37" s="331"/>
      <c r="AD37" s="331"/>
      <c r="AE37" s="331"/>
      <c r="AF37" s="331"/>
      <c r="AG37" s="331"/>
      <c r="AH37" s="331"/>
      <c r="AI37" s="331"/>
      <c r="AJ37" s="47"/>
    </row>
    <row r="38" spans="2:38" ht="19.5" customHeight="1">
      <c r="B38" s="108" t="s">
        <v>1</v>
      </c>
      <c r="C38" s="108"/>
      <c r="D38" s="95"/>
      <c r="E38" s="102"/>
      <c r="F38" s="102"/>
      <c r="G38" s="95" t="s">
        <v>1</v>
      </c>
      <c r="H38" s="102"/>
      <c r="I38" s="47"/>
      <c r="J38" s="47"/>
      <c r="K38" s="47"/>
      <c r="L38" s="47"/>
      <c r="M38" s="47"/>
      <c r="N38" s="47"/>
      <c r="O38" s="47"/>
      <c r="P38" s="47"/>
      <c r="Q38" s="47"/>
      <c r="R38" s="65"/>
      <c r="S38" s="47"/>
      <c r="T38" s="47"/>
      <c r="U38" s="47"/>
      <c r="V38" s="47"/>
      <c r="W38" s="77"/>
      <c r="X38" s="77"/>
      <c r="Y38" s="77"/>
      <c r="Z38" s="77"/>
      <c r="AA38" s="79"/>
      <c r="AB38" s="79"/>
      <c r="AC38" s="77"/>
      <c r="AD38" s="77"/>
      <c r="AE38" s="77"/>
      <c r="AF38" s="77"/>
      <c r="AG38" s="77"/>
      <c r="AH38" s="77"/>
      <c r="AI38" s="47"/>
      <c r="AJ38" s="11"/>
    </row>
    <row r="39" spans="2:38" s="64" customFormat="1" ht="14.5">
      <c r="B39" s="37" t="s">
        <v>56</v>
      </c>
      <c r="C39" s="37">
        <f>ROW()</f>
        <v>39</v>
      </c>
      <c r="P39" s="65"/>
      <c r="Q39" s="65"/>
      <c r="R39" s="65"/>
      <c r="S39" s="65"/>
      <c r="T39" s="65"/>
      <c r="U39" s="65"/>
      <c r="V39" s="65"/>
      <c r="W39" s="65"/>
      <c r="X39" s="65"/>
      <c r="Y39" s="65"/>
      <c r="Z39" s="65"/>
      <c r="AA39" s="65"/>
      <c r="AB39" s="65"/>
      <c r="AC39" s="314"/>
      <c r="AD39" s="322"/>
      <c r="AE39" s="322"/>
      <c r="AF39" s="322"/>
      <c r="AG39" s="322"/>
      <c r="AH39" s="322"/>
      <c r="AI39" s="65"/>
      <c r="AL39" s="119"/>
    </row>
    <row r="40" spans="2:38" s="64" customFormat="1" ht="14.5">
      <c r="P40" s="65"/>
      <c r="Q40" s="65"/>
      <c r="R40" s="65"/>
      <c r="S40" s="65"/>
      <c r="T40" s="65"/>
      <c r="U40" s="65"/>
      <c r="V40" s="65"/>
      <c r="W40" s="65"/>
      <c r="X40" s="65"/>
      <c r="Y40" s="65"/>
      <c r="Z40" s="65"/>
      <c r="AA40" s="65"/>
      <c r="AB40" s="65"/>
      <c r="AC40" s="323"/>
      <c r="AD40" s="324"/>
      <c r="AE40" s="324"/>
      <c r="AF40" s="324"/>
      <c r="AG40" s="324"/>
      <c r="AH40" s="324"/>
      <c r="AI40" s="65"/>
      <c r="AL40" s="119"/>
    </row>
    <row r="41" spans="2:38" s="64" customFormat="1" ht="14.5">
      <c r="B41" s="306" t="s">
        <v>235</v>
      </c>
      <c r="C41" s="307"/>
      <c r="D41" s="307"/>
      <c r="E41" s="307"/>
      <c r="F41" s="307"/>
      <c r="G41" s="308"/>
      <c r="H41" s="308"/>
      <c r="I41" s="309"/>
      <c r="J41" s="309"/>
      <c r="K41" s="309"/>
      <c r="L41" s="309"/>
      <c r="M41" s="309"/>
      <c r="N41" s="309"/>
      <c r="O41" s="310"/>
      <c r="P41" s="65"/>
      <c r="Q41" s="65"/>
      <c r="R41" s="65"/>
      <c r="S41" s="65"/>
      <c r="T41" s="65"/>
      <c r="U41" s="65"/>
      <c r="V41" s="65"/>
      <c r="W41" s="65"/>
      <c r="X41" s="65"/>
      <c r="Y41" s="65"/>
      <c r="Z41" s="65"/>
      <c r="AA41" s="65"/>
      <c r="AB41" s="65"/>
      <c r="AC41" s="314"/>
      <c r="AD41" s="322"/>
      <c r="AE41" s="322"/>
      <c r="AF41" s="322"/>
      <c r="AG41" s="322"/>
      <c r="AH41" s="322"/>
      <c r="AI41" s="65"/>
      <c r="AL41" s="119"/>
    </row>
    <row r="42" spans="2:38" s="64" customFormat="1" ht="14.5">
      <c r="B42" s="311"/>
      <c r="C42" s="312"/>
      <c r="D42" s="312"/>
      <c r="E42" s="312"/>
      <c r="F42" s="312"/>
      <c r="G42" s="312"/>
      <c r="H42" s="312"/>
      <c r="I42" s="312"/>
      <c r="J42" s="312"/>
      <c r="K42" s="312"/>
      <c r="L42" s="312"/>
      <c r="M42" s="312"/>
      <c r="N42" s="312"/>
      <c r="O42" s="313"/>
      <c r="P42" s="65"/>
      <c r="Q42" s="65"/>
      <c r="R42" s="65"/>
      <c r="S42" s="65"/>
      <c r="T42" s="65"/>
      <c r="U42" s="65"/>
      <c r="V42" s="65"/>
      <c r="W42" s="65"/>
      <c r="X42" s="65"/>
      <c r="Y42" s="65"/>
      <c r="Z42" s="65"/>
      <c r="AA42" s="65"/>
      <c r="AB42" s="65"/>
      <c r="AC42" s="314"/>
      <c r="AD42" s="322"/>
      <c r="AE42" s="322"/>
      <c r="AF42" s="322"/>
      <c r="AG42" s="322"/>
      <c r="AH42" s="322"/>
      <c r="AI42" s="65"/>
      <c r="AL42" s="119"/>
    </row>
    <row r="43" spans="2:38" s="64" customFormat="1" ht="14.5">
      <c r="P43" s="65"/>
      <c r="Q43" s="65"/>
      <c r="R43" s="65"/>
      <c r="S43" s="65"/>
      <c r="T43" s="65"/>
      <c r="U43" s="65"/>
      <c r="V43" s="65"/>
      <c r="W43" s="65"/>
      <c r="X43" s="65"/>
      <c r="Y43" s="65"/>
      <c r="Z43" s="65"/>
      <c r="AA43" s="65"/>
      <c r="AB43" s="65"/>
      <c r="AC43" s="65"/>
      <c r="AD43" s="65"/>
      <c r="AE43" s="65"/>
      <c r="AF43" s="65"/>
      <c r="AG43" s="65"/>
      <c r="AH43" s="65"/>
      <c r="AI43" s="65"/>
      <c r="AL43" s="119"/>
    </row>
    <row r="44" spans="2:38" s="64" customFormat="1" ht="14.5">
      <c r="P44" s="65"/>
      <c r="Q44" s="65"/>
      <c r="R44" s="65"/>
      <c r="S44" s="65"/>
      <c r="T44" s="65"/>
      <c r="U44" s="65"/>
      <c r="V44" s="65"/>
      <c r="W44" s="65"/>
      <c r="X44" s="65"/>
      <c r="Y44" s="65"/>
      <c r="Z44" s="65"/>
      <c r="AA44" s="65"/>
      <c r="AB44" s="65"/>
      <c r="AC44" s="65"/>
      <c r="AD44" s="65"/>
      <c r="AE44" s="65"/>
      <c r="AF44" s="65"/>
      <c r="AG44" s="65"/>
      <c r="AH44" s="65"/>
      <c r="AI44" s="65"/>
      <c r="AL44" s="119"/>
    </row>
    <row r="45" spans="2:38" s="64" customFormat="1" ht="14.5">
      <c r="AL45" s="119"/>
    </row>
    <row r="46" spans="2:38" s="64" customFormat="1" ht="14.5">
      <c r="AL46" s="119"/>
    </row>
    <row r="47" spans="2:38" s="64" customFormat="1" ht="14.5">
      <c r="AL47" s="119"/>
    </row>
    <row r="48" spans="2:38" s="64" customFormat="1" ht="14.5">
      <c r="AL48" s="119"/>
    </row>
    <row r="49" spans="38:38" s="64" customFormat="1" ht="14.5">
      <c r="AL49" s="119"/>
    </row>
    <row r="50" spans="38:38" s="64" customFormat="1" ht="14.5">
      <c r="AL50" s="119"/>
    </row>
    <row r="51" spans="38:38" s="64" customFormat="1" ht="14.5">
      <c r="AL51" s="119"/>
    </row>
    <row r="52" spans="38:38" s="64" customFormat="1" ht="14.5">
      <c r="AL52" s="119"/>
    </row>
    <row r="53" spans="38:38" s="64" customFormat="1" ht="14.5">
      <c r="AL53" s="119"/>
    </row>
    <row r="54" spans="38:38" s="64" customFormat="1" ht="14.5">
      <c r="AL54" s="119"/>
    </row>
    <row r="55" spans="38:38" s="64" customFormat="1" ht="14.5">
      <c r="AL55" s="119"/>
    </row>
    <row r="56" spans="38:38" s="64" customFormat="1" ht="14.5">
      <c r="AL56" s="119"/>
    </row>
    <row r="57" spans="38:38" s="64" customFormat="1" ht="14.5">
      <c r="AL57" s="119"/>
    </row>
    <row r="58" spans="38:38" s="64" customFormat="1" ht="14.5">
      <c r="AL58" s="119"/>
    </row>
    <row r="59" spans="38:38" s="64" customFormat="1" ht="14.5">
      <c r="AL59" s="119"/>
    </row>
    <row r="60" spans="38:38" s="64" customFormat="1" ht="14.5">
      <c r="AL60" s="119"/>
    </row>
    <row r="61" spans="38:38" s="64" customFormat="1" ht="14.5">
      <c r="AL61" s="119"/>
    </row>
    <row r="62" spans="38:38" s="64" customFormat="1" ht="14.5">
      <c r="AL62" s="119"/>
    </row>
    <row r="63" spans="38:38" s="64" customFormat="1" ht="14.5">
      <c r="AL63" s="119"/>
    </row>
    <row r="64" spans="38:38" s="64" customFormat="1" ht="14.5">
      <c r="AL64" s="119"/>
    </row>
    <row r="65" spans="38:38" s="64" customFormat="1" ht="14.5">
      <c r="AL65" s="119"/>
    </row>
    <row r="66" spans="38:38" s="64" customFormat="1" ht="14.5">
      <c r="AL66" s="119"/>
    </row>
    <row r="67" spans="38:38" s="64" customFormat="1" ht="14.5">
      <c r="AL67" s="119"/>
    </row>
    <row r="68" spans="38:38" s="64" customFormat="1" ht="14.5">
      <c r="AL68" s="119"/>
    </row>
    <row r="69" spans="38:38" s="64" customFormat="1" ht="14.5">
      <c r="AL69" s="119"/>
    </row>
    <row r="70" spans="38:38" s="64" customFormat="1" ht="14.5">
      <c r="AL70" s="119"/>
    </row>
    <row r="71" spans="38:38" s="64" customFormat="1" ht="14.5">
      <c r="AL71" s="119"/>
    </row>
    <row r="72" spans="38:38" s="64" customFormat="1" ht="14.5">
      <c r="AL72" s="119"/>
    </row>
    <row r="73" spans="38:38" s="64" customFormat="1" ht="14.5">
      <c r="AL73" s="119"/>
    </row>
    <row r="74" spans="38:38" s="64" customFormat="1" ht="14.5">
      <c r="AL74" s="119"/>
    </row>
    <row r="75" spans="38:38" s="64" customFormat="1" ht="14.5">
      <c r="AL75" s="119"/>
    </row>
    <row r="76" spans="38:38" s="64" customFormat="1" ht="14.5">
      <c r="AL76" s="119"/>
    </row>
    <row r="77" spans="38:38" s="64" customFormat="1" ht="14.5">
      <c r="AL77" s="119"/>
    </row>
    <row r="78" spans="38:38" s="64" customFormat="1" ht="14.5">
      <c r="AL78" s="119"/>
    </row>
    <row r="79" spans="38:38" s="64" customFormat="1" ht="14.5">
      <c r="AL79" s="119"/>
    </row>
    <row r="80" spans="38:38" s="64" customFormat="1" ht="14.5">
      <c r="AL80" s="119"/>
    </row>
    <row r="81" spans="38:38" s="64" customFormat="1" ht="14.5">
      <c r="AL81" s="119"/>
    </row>
    <row r="82" spans="38:38" s="64" customFormat="1" ht="14.5">
      <c r="AL82" s="119"/>
    </row>
    <row r="83" spans="38:38" s="64" customFormat="1" ht="14.5">
      <c r="AL83" s="119"/>
    </row>
    <row r="84" spans="38:38" s="64" customFormat="1" ht="14.5">
      <c r="AL84" s="119"/>
    </row>
    <row r="85" spans="38:38" s="64" customFormat="1" ht="14.5">
      <c r="AL85" s="119"/>
    </row>
    <row r="86" spans="38:38" s="64" customFormat="1" ht="14.5">
      <c r="AL86" s="119"/>
    </row>
    <row r="87" spans="38:38" s="64" customFormat="1" ht="14.5">
      <c r="AL87" s="119"/>
    </row>
    <row r="88" spans="38:38" s="64" customFormat="1" ht="14.5">
      <c r="AL88" s="119"/>
    </row>
    <row r="89" spans="38:38" ht="14.5"/>
    <row r="90" spans="38:38" ht="14.5"/>
    <row r="91" spans="38:38" ht="14.5"/>
    <row r="92" spans="38:38" ht="14.5"/>
    <row r="93" spans="38:38" ht="14.5"/>
    <row r="94" spans="38:38" ht="14.5"/>
    <row r="95" spans="38:38" ht="14.5"/>
    <row r="96" spans="38:38" ht="14.5"/>
    <row r="97" ht="14.5"/>
    <row r="98" ht="14.5"/>
    <row r="99" ht="14.5"/>
    <row r="100" ht="14.5"/>
    <row r="101" ht="14.5"/>
    <row r="102" ht="14.5"/>
    <row r="103" ht="14.5"/>
    <row r="104" ht="14.5"/>
    <row r="105" ht="14.5"/>
    <row r="106" ht="14.5"/>
    <row r="107" ht="14.5"/>
    <row r="108" ht="14.5"/>
    <row r="109" ht="14.5"/>
    <row r="110" ht="14.5"/>
    <row r="111" ht="14.5"/>
    <row r="112" ht="14.5"/>
    <row r="113" ht="14.5"/>
    <row r="114" ht="14.5"/>
    <row r="115" ht="14.5"/>
    <row r="116" ht="14.5"/>
    <row r="117" ht="14.5"/>
    <row r="118" ht="14.5"/>
    <row r="119" ht="14.5"/>
    <row r="120" ht="14.5"/>
    <row r="121" ht="14.5"/>
    <row r="122" ht="14.5"/>
    <row r="123" ht="14.5"/>
    <row r="124" ht="14.5"/>
    <row r="125" ht="14.5"/>
    <row r="126" ht="14.5"/>
    <row r="127" ht="14.5"/>
    <row r="128" ht="14.5"/>
    <row r="129" ht="14.5"/>
    <row r="130" ht="14.5"/>
    <row r="131" ht="14.5"/>
    <row r="132" ht="14.5"/>
    <row r="133" ht="14.5"/>
    <row r="134" ht="14.5"/>
    <row r="135" ht="14.5"/>
    <row r="136" ht="14.5"/>
    <row r="137" ht="14.5"/>
    <row r="138" ht="14.5"/>
    <row r="139" ht="14.5"/>
    <row r="140" ht="14.5"/>
    <row r="141" ht="14.5"/>
    <row r="142" ht="14.5"/>
    <row r="143" ht="14.5"/>
    <row r="144" ht="14.5"/>
    <row r="145" ht="14.5"/>
    <row r="146" ht="14.5"/>
    <row r="147" ht="14.5"/>
    <row r="148" ht="14.5"/>
    <row r="149" ht="14.5"/>
    <row r="150" ht="14.5"/>
    <row r="151" ht="14.5"/>
    <row r="152" ht="14.5"/>
    <row r="153" ht="14.5"/>
    <row r="154" ht="14.5"/>
    <row r="155" ht="14.5"/>
    <row r="156" ht="14.5"/>
    <row r="157" ht="14.5"/>
    <row r="158" ht="14.5"/>
    <row r="159" ht="14.5"/>
    <row r="160" ht="15" customHeight="1"/>
    <row r="161" ht="15" customHeight="1"/>
    <row r="162" ht="15" customHeight="1"/>
    <row r="163" ht="15" customHeight="1"/>
    <row r="164" ht="15" customHeight="1"/>
  </sheetData>
  <sheetProtection algorithmName="SHA-512" hashValue="fYYYN56MuEJ+pK6PEdduX5hPmcs0TkaFMlTos+L8AjygX9wppw4grOaxHjmKgj3jXNyRuj4uPRbLEW0Ulm35CQ==" saltValue="rp8ec/9CpP7fFRt6QIDRdA==" spinCount="100000" sheet="1" selectLockedCells="1"/>
  <mergeCells count="38">
    <mergeCell ref="B41:O42"/>
    <mergeCell ref="B8:C8"/>
    <mergeCell ref="B4:C4"/>
    <mergeCell ref="B5:C5"/>
    <mergeCell ref="B6:C6"/>
    <mergeCell ref="B7:C7"/>
    <mergeCell ref="B20:C20"/>
    <mergeCell ref="B9:C9"/>
    <mergeCell ref="B10:C10"/>
    <mergeCell ref="B11:C11"/>
    <mergeCell ref="B12:C12"/>
    <mergeCell ref="B13:C13"/>
    <mergeCell ref="B14:C14"/>
    <mergeCell ref="B15:C15"/>
    <mergeCell ref="B16:C16"/>
    <mergeCell ref="B17:C17"/>
    <mergeCell ref="B18:C18"/>
    <mergeCell ref="B19:C19"/>
    <mergeCell ref="B21:C21"/>
    <mergeCell ref="B22:C22"/>
    <mergeCell ref="B23:C23"/>
    <mergeCell ref="Q30:AI30"/>
    <mergeCell ref="X35:AA35"/>
    <mergeCell ref="AB35:AC35"/>
    <mergeCell ref="AE35:AH35"/>
    <mergeCell ref="B26:C26"/>
    <mergeCell ref="B28:C28"/>
    <mergeCell ref="X32:AA32"/>
    <mergeCell ref="AB32:AC32"/>
    <mergeCell ref="AE32:AH32"/>
    <mergeCell ref="Q33:AJ33"/>
    <mergeCell ref="Q31:AI31"/>
    <mergeCell ref="AC40:AH40"/>
    <mergeCell ref="AC41:AH41"/>
    <mergeCell ref="AC42:AH42"/>
    <mergeCell ref="AC39:AH39"/>
    <mergeCell ref="AJ34:AK34"/>
    <mergeCell ref="Q37:AI37"/>
  </mergeCells>
  <conditionalFormatting sqref="AG5:AH23">
    <cfRule type="expression" dxfId="247" priority="74">
      <formula>AG$2</formula>
    </cfRule>
  </conditionalFormatting>
  <conditionalFormatting sqref="D3:AH3">
    <cfRule type="expression" dxfId="246" priority="73">
      <formula>MATCH(D3,INDIRECT("Fixed_weekdays[DateInYear]"),0)&gt;0</formula>
    </cfRule>
  </conditionalFormatting>
  <conditionalFormatting sqref="D3:AH3">
    <cfRule type="expression" dxfId="245" priority="72">
      <formula>MATCH(D3,INDIRECT("Fixed_dates[DateInYear]"),0)&gt;0</formula>
    </cfRule>
  </conditionalFormatting>
  <conditionalFormatting sqref="D3:AH3">
    <cfRule type="expression" dxfId="244" priority="71">
      <formula>AND(INDEX(INDIRECT("Shortened[WorkHours]"),MATCH(D3,INDIRECT("Shortened[DateInYear]"),0),0)&gt;0,INDEX(INDIRECT("Shortened[WorkHours]"),MATCH(D3,INDIRECT("Shortened[DateInYear]"),0),0)&lt;8)</formula>
    </cfRule>
  </conditionalFormatting>
  <conditionalFormatting sqref="D3:AH3">
    <cfRule type="expression" dxfId="243" priority="70">
      <formula>AND(INDEX(INDIRECT("Clamp[WorkHours]"),MATCH(C3,INDIRECT("Clamp[DateInYear]"),0),0)&gt;0,INDEX(INDIRECT("Clamp[WorkHours]"),MATCH(C3,INDIRECT("Clamp[DateInYear]"),0),0)&lt;8)</formula>
    </cfRule>
  </conditionalFormatting>
  <conditionalFormatting sqref="D3:AH3">
    <cfRule type="expression" dxfId="242" priority="68">
      <formula>INDEX(INDIRECT("Shortened[WorkHours]"),MATCH(D3,INDIRECT("Shortened[DateInYear]"),0),0)&gt;7</formula>
    </cfRule>
    <cfRule type="expression" dxfId="241" priority="69">
      <formula>INDEX(INDIRECT("Clamp[WorkHours]"),MATCH(D3,INDIRECT("Clamp[DateInYear]"),0),0)&gt;7</formula>
    </cfRule>
  </conditionalFormatting>
  <conditionalFormatting sqref="D3:AH3">
    <cfRule type="expression" dxfId="240" priority="67">
      <formula>OR(WEEKDAY(D3,2)=6,WEEKDAY(D3,2)=7)</formula>
    </cfRule>
  </conditionalFormatting>
  <conditionalFormatting sqref="B4:C22">
    <cfRule type="containsText" dxfId="239" priority="39" operator="containsText" text="Other US">
      <formula>NOT(ISERROR(SEARCH("Other US",B4)))</formula>
    </cfRule>
    <cfRule type="containsText" dxfId="238" priority="40" operator="containsText" text="US Army">
      <formula>NOT(ISERROR(SEARCH("US Army",B4)))</formula>
    </cfRule>
    <cfRule type="containsText" dxfId="237" priority="42" operator="containsText" text="NIH">
      <formula>NOT(ISERROR(SEARCH("NIH",B4)))</formula>
    </cfRule>
    <cfRule type="containsText" dxfId="236" priority="43" operator="containsText" text="FP7">
      <formula>NOT(ISERROR(SEARCH("FP7",B4)))</formula>
    </cfRule>
    <cfRule type="containsText" dxfId="235" priority="44" operator="containsText" text="H2020">
      <formula>NOT(ISERROR(SEARCH("H2020",B4)))</formula>
    </cfRule>
    <cfRule type="containsText" dxfId="234" priority="45" operator="containsText" text="Sida">
      <formula>NOT(ISERROR(SEARCH("Sida",B4)))</formula>
    </cfRule>
    <cfRule type="containsText" dxfId="233" priority="46" operator="containsText" text="Other">
      <formula>NOT(ISERROR(SEARCH("Other",B4)))</formula>
    </cfRule>
  </conditionalFormatting>
  <conditionalFormatting sqref="D4:AH4 D5:AF23">
    <cfRule type="expression" dxfId="232" priority="38">
      <formula>D$2</formula>
    </cfRule>
  </conditionalFormatting>
  <conditionalFormatting sqref="E25">
    <cfRule type="iconSet" priority="26">
      <iconSet iconSet="3Flags">
        <cfvo type="percent" val="0"/>
        <cfvo type="percent" val="33"/>
        <cfvo type="percent" val="67"/>
      </iconSet>
    </cfRule>
  </conditionalFormatting>
  <conditionalFormatting sqref="E25">
    <cfRule type="iconSet" priority="25">
      <iconSet iconSet="3Flags">
        <cfvo type="percent" val="0"/>
        <cfvo type="percent" val="33"/>
        <cfvo type="percent" val="67"/>
      </iconSet>
    </cfRule>
  </conditionalFormatting>
  <conditionalFormatting sqref="F25">
    <cfRule type="iconSet" priority="20">
      <iconSet iconSet="3Flags">
        <cfvo type="percent" val="0"/>
        <cfvo type="percent" val="33"/>
        <cfvo type="percent" val="67"/>
      </iconSet>
    </cfRule>
  </conditionalFormatting>
  <conditionalFormatting sqref="F25">
    <cfRule type="iconSet" priority="19">
      <iconSet iconSet="3Flags">
        <cfvo type="percent" val="0"/>
        <cfvo type="percent" val="33"/>
        <cfvo type="percent" val="67"/>
      </iconSet>
    </cfRule>
  </conditionalFormatting>
  <conditionalFormatting sqref="D25">
    <cfRule type="iconSet" priority="15">
      <iconSet iconSet="3Flags">
        <cfvo type="percent" val="0"/>
        <cfvo type="percent" val="33"/>
        <cfvo type="percent" val="67"/>
      </iconSet>
    </cfRule>
  </conditionalFormatting>
  <conditionalFormatting sqref="D25">
    <cfRule type="iconSet" priority="14">
      <iconSet iconSet="3Flags">
        <cfvo type="percent" val="0"/>
        <cfvo type="percent" val="33"/>
        <cfvo type="percent" val="67"/>
      </iconSet>
    </cfRule>
  </conditionalFormatting>
  <conditionalFormatting sqref="G25:AE25">
    <cfRule type="iconSet" priority="8">
      <iconSet iconSet="3Flags">
        <cfvo type="percent" val="0"/>
        <cfvo type="percent" val="33"/>
        <cfvo type="percent" val="67"/>
      </iconSet>
    </cfRule>
  </conditionalFormatting>
  <conditionalFormatting sqref="G25:AE25">
    <cfRule type="iconSet" priority="7">
      <iconSet iconSet="3Flags">
        <cfvo type="percent" val="0"/>
        <cfvo type="percent" val="33"/>
        <cfvo type="percent" val="67"/>
      </iconSet>
    </cfRule>
  </conditionalFormatting>
  <conditionalFormatting sqref="AJ34">
    <cfRule type="expression" dxfId="231" priority="5">
      <formula>AK$2</formula>
    </cfRule>
  </conditionalFormatting>
  <conditionalFormatting sqref="D26:AH26">
    <cfRule type="cellIs" dxfId="230" priority="1" operator="greaterThan">
      <formula>24</formula>
    </cfRule>
    <cfRule type="cellIs" dxfId="229" priority="2" operator="greaterThan">
      <formula>14</formula>
    </cfRule>
  </conditionalFormatting>
  <dataValidations count="1">
    <dataValidation type="decimal" allowBlank="1" showInputMessage="1" showErrorMessage="1" errorTitle="ERROR !" error="You may report min 0,5 and max 24 hrs per WP or Project" sqref="AG4:AH4 D4:AF23" xr:uid="{00000000-0002-0000-0500-000000000000}">
      <formula1>0.5</formula1>
      <formula2>24</formula2>
    </dataValidation>
  </dataValidations>
  <printOptions horizontalCentered="1" verticalCentered="1"/>
  <pageMargins left="0.7" right="0.7" top="1.2072916666666667" bottom="0.75" header="0.45652173913043476" footer="0.3"/>
  <pageSetup paperSize="9" scale="53" orientation="landscape" r:id="rId1"/>
  <headerFooter>
    <oddHeader>&amp;L&amp;G&amp;C&amp;24TIMESHEET</oddHeader>
  </headerFooter>
  <legacyDrawingHF r:id="rId2"/>
  <extLst>
    <ext xmlns:x14="http://schemas.microsoft.com/office/spreadsheetml/2009/9/main" uri="{78C0D931-6437-407d-A8EE-F0AAD7539E65}">
      <x14:conditionalFormattings>
        <x14:conditionalFormatting xmlns:xm="http://schemas.microsoft.com/office/excel/2006/main">
          <x14:cfRule type="containsText" priority="41" operator="containsText" id="{57AF6177-12FD-48E0-9164-71F781A07BA2}">
            <xm:f>NOT(ISERROR(SEARCH("Non-project",B4)))</xm:f>
            <xm:f>"Non-project"</xm:f>
            <x14:dxf>
              <fill>
                <patternFill>
                  <bgColor theme="6" tint="0.59996337778862885"/>
                </patternFill>
              </fill>
            </x14:dxf>
          </x14:cfRule>
          <xm:sqref>B4:C22</xm:sqref>
        </x14:conditionalFormatting>
        <x14:conditionalFormatting xmlns:xm="http://schemas.microsoft.com/office/excel/2006/main">
          <x14:cfRule type="iconSet" priority="24" id="{801202C0-D4F2-42CE-BDFC-DB674CE52D8A}">
            <x14:iconSet iconSet="3Flags" showValue="0" custom="1">
              <x14:cfvo type="percent">
                <xm:f>0</xm:f>
              </x14:cfvo>
              <x14:cfvo type="num" gte="0">
                <xm:f>14</xm:f>
              </x14:cfvo>
              <x14:cfvo type="num" gte="0">
                <xm:f>24</xm:f>
              </x14:cfvo>
              <x14:cfIcon iconSet="NoIcons" iconId="0"/>
              <x14:cfIcon iconSet="3Flags" iconId="1"/>
              <x14:cfIcon iconSet="3Flags" iconId="0"/>
            </x14:iconSet>
          </x14:cfRule>
          <xm:sqref>E25</xm:sqref>
        </x14:conditionalFormatting>
        <x14:conditionalFormatting xmlns:xm="http://schemas.microsoft.com/office/excel/2006/main">
          <x14:cfRule type="iconSet" priority="18" id="{20C8A975-33F7-4932-BFB6-33FACB9D49ED}">
            <x14:iconSet iconSet="3Flags" showValue="0" custom="1">
              <x14:cfvo type="percent">
                <xm:f>0</xm:f>
              </x14:cfvo>
              <x14:cfvo type="num" gte="0">
                <xm:f>14</xm:f>
              </x14:cfvo>
              <x14:cfvo type="num" gte="0">
                <xm:f>24</xm:f>
              </x14:cfvo>
              <x14:cfIcon iconSet="NoIcons" iconId="0"/>
              <x14:cfIcon iconSet="3Flags" iconId="1"/>
              <x14:cfIcon iconSet="3Flags" iconId="0"/>
            </x14:iconSet>
          </x14:cfRule>
          <xm:sqref>F25</xm:sqref>
        </x14:conditionalFormatting>
        <x14:conditionalFormatting xmlns:xm="http://schemas.microsoft.com/office/excel/2006/main">
          <x14:cfRule type="iconSet" priority="13" id="{C9F834DE-D8A5-43EF-AD8B-843FDBB95E7E}">
            <x14:iconSet iconSet="3Flags" showValue="0" custom="1">
              <x14:cfvo type="percent">
                <xm:f>0</xm:f>
              </x14:cfvo>
              <x14:cfvo type="num" gte="0">
                <xm:f>14</xm:f>
              </x14:cfvo>
              <x14:cfvo type="num" gte="0">
                <xm:f>24</xm:f>
              </x14:cfvo>
              <x14:cfIcon iconSet="NoIcons" iconId="0"/>
              <x14:cfIcon iconSet="3Flags" iconId="1"/>
              <x14:cfIcon iconSet="3Flags" iconId="0"/>
            </x14:iconSet>
          </x14:cfRule>
          <xm:sqref>D25</xm:sqref>
        </x14:conditionalFormatting>
        <x14:conditionalFormatting xmlns:xm="http://schemas.microsoft.com/office/excel/2006/main">
          <x14:cfRule type="iconSet" priority="6" id="{BEB19EC4-EA7B-4998-948B-0BD8998ED32D}">
            <x14:iconSet iconSet="3Flags" showValue="0" custom="1">
              <x14:cfvo type="percent">
                <xm:f>0</xm:f>
              </x14:cfvo>
              <x14:cfvo type="num" gte="0">
                <xm:f>14</xm:f>
              </x14:cfvo>
              <x14:cfvo type="num" gte="0">
                <xm:f>24</xm:f>
              </x14:cfvo>
              <x14:cfIcon iconSet="NoIcons" iconId="0"/>
              <x14:cfIcon iconSet="3Flags" iconId="1"/>
              <x14:cfIcon iconSet="3Flags" iconId="0"/>
            </x14:iconSet>
          </x14:cfRule>
          <xm:sqref>G25:AE25</xm:sqref>
        </x14:conditionalFormatting>
        <x14:conditionalFormatting xmlns:xm="http://schemas.microsoft.com/office/excel/2006/main">
          <x14:cfRule type="iconSet" priority="4" id="{324D0BCA-9061-4831-8DE8-83FD01F2A8B5}">
            <x14:iconSet iconSet="3Flags" showValue="0" custom="1">
              <x14:cfvo type="percent">
                <xm:f>0</xm:f>
              </x14:cfvo>
              <x14:cfvo type="num">
                <xm:f>0</xm:f>
              </x14:cfvo>
              <x14:cfvo type="num" gte="0">
                <xm:f>0</xm:f>
              </x14:cfvo>
              <x14:cfIcon iconSet="NoIcons" iconId="0"/>
              <x14:cfIcon iconSet="NoIcons" iconId="0"/>
              <x14:cfIcon iconSet="3Flags" iconId="1"/>
            </x14:iconSet>
          </x14:cfRule>
          <xm:sqref>AJ35</xm:sqref>
        </x14:conditionalFormatting>
        <x14:conditionalFormatting xmlns:xm="http://schemas.microsoft.com/office/excel/2006/main">
          <x14:cfRule type="iconSet" priority="3" id="{B9B871EE-1698-4A7B-90BD-CF2D32833832}">
            <x14:iconSet iconSet="3Flags" showValue="0" custom="1">
              <x14:cfvo type="percent">
                <xm:f>0</xm:f>
              </x14:cfvo>
              <x14:cfvo type="num">
                <xm:f>0</xm:f>
              </x14:cfvo>
              <x14:cfvo type="num" gte="0">
                <xm:f>0</xm:f>
              </x14:cfvo>
              <x14:cfIcon iconSet="NoIcons" iconId="0"/>
              <x14:cfIcon iconSet="NoIcons" iconId="0"/>
              <x14:cfIcon iconSet="3Flags" iconId="0"/>
            </x14:iconSet>
          </x14:cfRule>
          <xm:sqref>AJ36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4">
    <tabColor theme="5" tint="-0.249977111117893"/>
    <pageSetUpPr fitToPage="1"/>
  </sheetPr>
  <dimension ref="B1:AO164"/>
  <sheetViews>
    <sheetView showGridLines="0" showZeros="0" zoomScale="40" zoomScaleNormal="40" zoomScaleSheetLayoutView="55" zoomScalePageLayoutView="120" workbookViewId="0">
      <selection activeCell="D4" sqref="D4"/>
    </sheetView>
  </sheetViews>
  <sheetFormatPr defaultColWidth="0" defaultRowHeight="15" customHeight="1" zeroHeight="1"/>
  <cols>
    <col min="1" max="1" width="1.54296875" style="12" customWidth="1"/>
    <col min="2" max="3" width="25.7265625" style="12" customWidth="1"/>
    <col min="4" max="34" width="5.26953125" style="12" customWidth="1"/>
    <col min="35" max="35" width="8.26953125" style="12" customWidth="1"/>
    <col min="36" max="36" width="8.1796875" style="12" bestFit="1" customWidth="1"/>
    <col min="37" max="37" width="29.26953125" style="12" customWidth="1"/>
    <col min="38" max="38" width="5.54296875" style="12" customWidth="1"/>
    <col min="39" max="16382" width="9.1796875" style="12" customWidth="1"/>
    <col min="16383" max="16384" width="2.1796875" style="12" customWidth="1"/>
  </cols>
  <sheetData>
    <row r="1" spans="2:37" ht="21">
      <c r="B1" s="96" t="s">
        <v>76</v>
      </c>
      <c r="C1" s="96">
        <f>Year</f>
        <v>2021</v>
      </c>
      <c r="D1" s="97"/>
      <c r="E1" s="97"/>
      <c r="F1" s="97"/>
      <c r="G1" s="97"/>
      <c r="H1" s="97"/>
      <c r="I1" s="97"/>
      <c r="J1" s="97"/>
      <c r="K1" s="97"/>
      <c r="L1" s="97"/>
      <c r="M1" s="97"/>
      <c r="N1" s="114"/>
      <c r="O1" s="97"/>
      <c r="P1" s="98" t="s">
        <v>6</v>
      </c>
      <c r="Q1" s="99">
        <f>Member</f>
        <v>0</v>
      </c>
      <c r="R1" s="97"/>
      <c r="S1" s="48"/>
      <c r="T1" s="48"/>
      <c r="U1" s="48"/>
      <c r="V1" s="48"/>
      <c r="W1" s="48"/>
      <c r="X1" s="48"/>
      <c r="Y1" s="48"/>
      <c r="Z1" s="48"/>
      <c r="AA1" s="48"/>
      <c r="AB1" s="48"/>
      <c r="AC1" s="115"/>
      <c r="AD1" s="48"/>
      <c r="AE1" s="34"/>
      <c r="AF1" s="48"/>
      <c r="AG1" s="48"/>
      <c r="AH1" s="48"/>
      <c r="AI1" s="34"/>
      <c r="AJ1" s="34"/>
    </row>
    <row r="2" spans="2:37" ht="12.75" customHeight="1">
      <c r="B2" s="36"/>
      <c r="C2" s="50">
        <f>C39</f>
        <v>39</v>
      </c>
      <c r="D2" s="50" t="b">
        <f ca="1">OR(OR(WEEKDAY(D3,2)=6,WEEKDAY(D3,2)=7),IFERROR(INDEX(INDIRECT("Shortened[WorkHours]"),MATCH(D3,INDIRECT("Shortened[DateInYear]"),0),0),0)&gt;7,IFERROR(INDEX(INDIRECT("Clamp[WorkHours]"),MATCH(D3,INDIRECT("Clamp[DateInYear]"),0),0),0)&gt;7,IFERROR(MATCH(D3,INDIRECT("Fixed_dates[DateInYear]"),0),0)&gt;0,IFERROR(MATCH(D3,INDIRECT("Fixed_weekdays[DateInYear]"),0),0)&gt;0)</f>
        <v>0</v>
      </c>
      <c r="E2" s="50" t="b">
        <f t="shared" ref="E2:AH2" ca="1" si="0">OR(OR(WEEKDAY(E3,2)=6,WEEKDAY(E3,2)=7),IFERROR(INDEX(INDIRECT("Shortened[WorkHours]"),MATCH(E3,INDIRECT("Shortened[DateInYear]"),0),0),0)&gt;7,IFERROR(INDEX(INDIRECT("Clamp[WorkHours]"),MATCH(E3,INDIRECT("Clamp[DateInYear]"),0),0),0)&gt;7,IFERROR(MATCH(E3,INDIRECT("Fixed_dates[DateInYear]"),0),0)&gt;0,IFERROR(MATCH(E3,INDIRECT("Fixed_weekdays[DateInYear]"),0),0)&gt;0)</f>
        <v>0</v>
      </c>
      <c r="F2" s="50" t="b">
        <f t="shared" ca="1" si="0"/>
        <v>0</v>
      </c>
      <c r="G2" s="50" t="b">
        <f t="shared" ca="1" si="0"/>
        <v>0</v>
      </c>
      <c r="H2" s="50" t="b">
        <f t="shared" ca="1" si="0"/>
        <v>0</v>
      </c>
      <c r="I2" s="50" t="b">
        <f t="shared" ca="1" si="0"/>
        <v>1</v>
      </c>
      <c r="J2" s="50" t="b">
        <f t="shared" ca="1" si="0"/>
        <v>1</v>
      </c>
      <c r="K2" s="50" t="b">
        <f t="shared" ca="1" si="0"/>
        <v>0</v>
      </c>
      <c r="L2" s="50" t="b">
        <f t="shared" ca="1" si="0"/>
        <v>0</v>
      </c>
      <c r="M2" s="50" t="b">
        <f t="shared" ca="1" si="0"/>
        <v>0</v>
      </c>
      <c r="N2" s="50" t="b">
        <f t="shared" ca="1" si="0"/>
        <v>0</v>
      </c>
      <c r="O2" s="50" t="b">
        <f t="shared" ca="1" si="0"/>
        <v>0</v>
      </c>
      <c r="P2" s="50" t="b">
        <f t="shared" ca="1" si="0"/>
        <v>1</v>
      </c>
      <c r="Q2" s="50" t="b">
        <f t="shared" ca="1" si="0"/>
        <v>1</v>
      </c>
      <c r="R2" s="116" t="b">
        <f t="shared" ca="1" si="0"/>
        <v>0</v>
      </c>
      <c r="S2" s="50" t="b">
        <f t="shared" ca="1" si="0"/>
        <v>0</v>
      </c>
      <c r="T2" s="50" t="b">
        <f t="shared" ca="1" si="0"/>
        <v>0</v>
      </c>
      <c r="U2" s="50" t="b">
        <f t="shared" ca="1" si="0"/>
        <v>0</v>
      </c>
      <c r="V2" s="50" t="b">
        <f t="shared" ca="1" si="0"/>
        <v>0</v>
      </c>
      <c r="W2" s="50" t="b">
        <f t="shared" ca="1" si="0"/>
        <v>1</v>
      </c>
      <c r="X2" s="50" t="b">
        <f t="shared" ca="1" si="0"/>
        <v>1</v>
      </c>
      <c r="Y2" s="50" t="b">
        <f t="shared" ca="1" si="0"/>
        <v>0</v>
      </c>
      <c r="Z2" s="50" t="b">
        <f t="shared" ca="1" si="0"/>
        <v>0</v>
      </c>
      <c r="AA2" s="50" t="b">
        <f t="shared" ca="1" si="0"/>
        <v>0</v>
      </c>
      <c r="AB2" s="50" t="b">
        <f t="shared" ca="1" si="0"/>
        <v>0</v>
      </c>
      <c r="AC2" s="50" t="b">
        <f t="shared" ca="1" si="0"/>
        <v>0</v>
      </c>
      <c r="AD2" s="50" t="b">
        <f t="shared" ca="1" si="0"/>
        <v>1</v>
      </c>
      <c r="AE2" s="50" t="b">
        <f t="shared" ca="1" si="0"/>
        <v>1</v>
      </c>
      <c r="AF2" s="50" t="b">
        <f ca="1">OR(OR(WEEKDAY(AF3,2)=6,WEEKDAY(AF3,2)=7),IFERROR(INDEX(INDIRECT("Shortened[WorkHours]"),MATCH(AF3,INDIRECT("Shortened[DateInYear]"),0),0),0)&gt;7,IFERROR(INDEX(INDIRECT("Clamp[WorkHours]"),MATCH(AF3,INDIRECT("Clamp[DateInYear]"),0),0),0)&gt;7,IFERROR(MATCH(AF3,INDIRECT("Fixed_dates[DateInYear]"),0),0)&gt;0,IFERROR(MATCH(AF3,INDIRECT("Fixed_weekdays[DateInYear]"),0),0)&gt;0)</f>
        <v>0</v>
      </c>
      <c r="AG2" s="50" t="b">
        <f t="shared" ca="1" si="0"/>
        <v>0</v>
      </c>
      <c r="AH2" s="50" t="b">
        <f t="shared" ca="1" si="0"/>
        <v>0</v>
      </c>
      <c r="AI2" s="100"/>
      <c r="AJ2" s="117"/>
    </row>
    <row r="3" spans="2:37" ht="17.149999999999999" customHeight="1">
      <c r="B3" s="85" t="s">
        <v>74</v>
      </c>
      <c r="C3" s="86"/>
      <c r="D3" s="87">
        <f>DATEVALUE(AloxÅr&amp;"-"&amp;VLOOKUP(LEFT(B1,3),Holidays!$M$4:$N$15,2,0)&amp;"-1")</f>
        <v>44256</v>
      </c>
      <c r="E3" s="87">
        <f>DATE(YEAR(D3),MONTH(D3),DAY(D3)+1)</f>
        <v>44257</v>
      </c>
      <c r="F3" s="87">
        <f t="shared" ref="F3:AH3" si="1">DATE(YEAR(E3),MONTH(E3),DAY(E3)+1)</f>
        <v>44258</v>
      </c>
      <c r="G3" s="87">
        <f t="shared" si="1"/>
        <v>44259</v>
      </c>
      <c r="H3" s="87">
        <f t="shared" si="1"/>
        <v>44260</v>
      </c>
      <c r="I3" s="87">
        <f t="shared" si="1"/>
        <v>44261</v>
      </c>
      <c r="J3" s="87">
        <f t="shared" si="1"/>
        <v>44262</v>
      </c>
      <c r="K3" s="87">
        <f t="shared" si="1"/>
        <v>44263</v>
      </c>
      <c r="L3" s="87">
        <f t="shared" si="1"/>
        <v>44264</v>
      </c>
      <c r="M3" s="87">
        <f t="shared" si="1"/>
        <v>44265</v>
      </c>
      <c r="N3" s="87">
        <f t="shared" si="1"/>
        <v>44266</v>
      </c>
      <c r="O3" s="87">
        <f t="shared" si="1"/>
        <v>44267</v>
      </c>
      <c r="P3" s="87">
        <f t="shared" si="1"/>
        <v>44268</v>
      </c>
      <c r="Q3" s="87">
        <f t="shared" si="1"/>
        <v>44269</v>
      </c>
      <c r="R3" s="87">
        <f t="shared" si="1"/>
        <v>44270</v>
      </c>
      <c r="S3" s="87">
        <f t="shared" si="1"/>
        <v>44271</v>
      </c>
      <c r="T3" s="87">
        <f t="shared" si="1"/>
        <v>44272</v>
      </c>
      <c r="U3" s="87">
        <f t="shared" si="1"/>
        <v>44273</v>
      </c>
      <c r="V3" s="87">
        <f t="shared" si="1"/>
        <v>44274</v>
      </c>
      <c r="W3" s="87">
        <f t="shared" si="1"/>
        <v>44275</v>
      </c>
      <c r="X3" s="87">
        <f t="shared" si="1"/>
        <v>44276</v>
      </c>
      <c r="Y3" s="87">
        <f t="shared" si="1"/>
        <v>44277</v>
      </c>
      <c r="Z3" s="87">
        <f t="shared" si="1"/>
        <v>44278</v>
      </c>
      <c r="AA3" s="87">
        <f t="shared" si="1"/>
        <v>44279</v>
      </c>
      <c r="AB3" s="87">
        <f t="shared" si="1"/>
        <v>44280</v>
      </c>
      <c r="AC3" s="87">
        <f t="shared" si="1"/>
        <v>44281</v>
      </c>
      <c r="AD3" s="87">
        <f t="shared" si="1"/>
        <v>44282</v>
      </c>
      <c r="AE3" s="87">
        <f t="shared" si="1"/>
        <v>44283</v>
      </c>
      <c r="AF3" s="87">
        <f t="shared" si="1"/>
        <v>44284</v>
      </c>
      <c r="AG3" s="87">
        <f t="shared" si="1"/>
        <v>44285</v>
      </c>
      <c r="AH3" s="87">
        <f t="shared" si="1"/>
        <v>44286</v>
      </c>
      <c r="AI3" s="113" t="s">
        <v>3</v>
      </c>
      <c r="AJ3" s="184" t="s">
        <v>97</v>
      </c>
      <c r="AK3" s="183" t="s">
        <v>213</v>
      </c>
    </row>
    <row r="4" spans="2:37" s="64" customFormat="1" ht="17.149999999999999" customHeight="1">
      <c r="B4" s="327" t="str">
        <f>IFERROR(Project.01&amp;" "&amp;WP.01&amp;" "&amp;Contract.01&amp;" "&amp;Type.01&amp;" "&amp;Activity.01," ")</f>
        <v xml:space="preserve">    </v>
      </c>
      <c r="C4" s="327"/>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9">
        <f>SUM(D4:AH4)</f>
        <v>0</v>
      </c>
      <c r="AJ4" s="185" t="str">
        <f t="shared" ref="AJ4:AJ23" si="2">IFERROR(AI4/$AI$26,"")</f>
        <v/>
      </c>
      <c r="AK4" s="188"/>
    </row>
    <row r="5" spans="2:37" s="64" customFormat="1" ht="17.149999999999999" customHeight="1">
      <c r="B5" s="327" t="str">
        <f>IFERROR(Project.02&amp;" "&amp;WP.02&amp;" "&amp;Contract.02&amp;" "&amp;Type.02&amp;" "&amp;Activity.02," ")</f>
        <v xml:space="preserve">    </v>
      </c>
      <c r="C5" s="327"/>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9">
        <f t="shared" ref="AI5:AI23" si="3">SUM(D5:AH5)</f>
        <v>0</v>
      </c>
      <c r="AJ5" s="185" t="str">
        <f t="shared" si="2"/>
        <v/>
      </c>
      <c r="AK5" s="188"/>
    </row>
    <row r="6" spans="2:37" s="64" customFormat="1" ht="17.149999999999999" customHeight="1">
      <c r="B6" s="327" t="str">
        <f>IFERROR(Project.03&amp;" "&amp;WP.03&amp;" "&amp;Contract.03&amp;" "&amp;Type.03&amp;" "&amp;Activity.03," ")</f>
        <v xml:space="preserve">    </v>
      </c>
      <c r="C6" s="327"/>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9">
        <f t="shared" si="3"/>
        <v>0</v>
      </c>
      <c r="AJ6" s="185" t="str">
        <f t="shared" si="2"/>
        <v/>
      </c>
      <c r="AK6" s="188"/>
    </row>
    <row r="7" spans="2:37" s="64" customFormat="1" ht="17.149999999999999" customHeight="1">
      <c r="B7" s="327" t="str">
        <f>IFERROR(Project.04&amp;" "&amp;WP.04&amp;" "&amp;Contract.04&amp;" "&amp;Type.04&amp;" "&amp;Activity.04," ")</f>
        <v xml:space="preserve">    </v>
      </c>
      <c r="C7" s="327"/>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9">
        <f t="shared" si="3"/>
        <v>0</v>
      </c>
      <c r="AJ7" s="185" t="str">
        <f t="shared" si="2"/>
        <v/>
      </c>
      <c r="AK7" s="188"/>
    </row>
    <row r="8" spans="2:37" s="64" customFormat="1" ht="17.149999999999999" customHeight="1">
      <c r="B8" s="327" t="str">
        <f>IFERROR(Project.05&amp;" "&amp;WP.05&amp;" "&amp;Contract.05&amp;" "&amp;Type.05&amp;" "&amp;Activity.05," ")</f>
        <v xml:space="preserve">    </v>
      </c>
      <c r="C8" s="327"/>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9">
        <f t="shared" si="3"/>
        <v>0</v>
      </c>
      <c r="AJ8" s="185" t="str">
        <f t="shared" si="2"/>
        <v/>
      </c>
      <c r="AK8" s="188"/>
    </row>
    <row r="9" spans="2:37" s="64" customFormat="1" ht="17.149999999999999" customHeight="1">
      <c r="B9" s="327" t="str">
        <f>IFERROR(Project.06&amp;" "&amp;WP.06&amp;" "&amp;Contract.06&amp;" "&amp;Type.06&amp;" "&amp;Activity.06," ")</f>
        <v xml:space="preserve">    </v>
      </c>
      <c r="C9" s="327"/>
      <c r="D9" s="88"/>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9">
        <f t="shared" si="3"/>
        <v>0</v>
      </c>
      <c r="AJ9" s="185" t="str">
        <f t="shared" si="2"/>
        <v/>
      </c>
      <c r="AK9" s="189"/>
    </row>
    <row r="10" spans="2:37" s="64" customFormat="1" ht="17.149999999999999" customHeight="1">
      <c r="B10" s="327" t="str">
        <f>IFERROR(Project.07&amp;" "&amp;WP.07&amp;" "&amp;Contract.07&amp;" "&amp;Type.07&amp;" "&amp;Activity.07," ")</f>
        <v xml:space="preserve">    </v>
      </c>
      <c r="C10" s="327"/>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9">
        <f t="shared" si="3"/>
        <v>0</v>
      </c>
      <c r="AJ10" s="185" t="str">
        <f t="shared" si="2"/>
        <v/>
      </c>
      <c r="AK10" s="188"/>
    </row>
    <row r="11" spans="2:37" s="64" customFormat="1" ht="17.149999999999999" customHeight="1">
      <c r="B11" s="327" t="str">
        <f>IFERROR(Project.08&amp;" "&amp;WP.08&amp;" "&amp;Contract.08&amp;" "&amp;Type.08&amp;" "&amp;Activity.08," ")</f>
        <v xml:space="preserve">    </v>
      </c>
      <c r="C11" s="327"/>
      <c r="D11" s="88"/>
      <c r="E11" s="88"/>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9">
        <f t="shared" si="3"/>
        <v>0</v>
      </c>
      <c r="AJ11" s="185" t="str">
        <f t="shared" si="2"/>
        <v/>
      </c>
      <c r="AK11" s="188"/>
    </row>
    <row r="12" spans="2:37" s="64" customFormat="1" ht="17.149999999999999" customHeight="1">
      <c r="B12" s="327" t="str">
        <f>(Project.09&amp;" "&amp;WP.09&amp;" "&amp;Contract.09&amp;" "&amp;Type.09&amp;" "&amp;Activity.09)</f>
        <v xml:space="preserve">    </v>
      </c>
      <c r="C12" s="327"/>
      <c r="D12" s="88"/>
      <c r="E12" s="88"/>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9">
        <f t="shared" si="3"/>
        <v>0</v>
      </c>
      <c r="AJ12" s="185" t="str">
        <f t="shared" si="2"/>
        <v/>
      </c>
      <c r="AK12" s="188"/>
    </row>
    <row r="13" spans="2:37" s="64" customFormat="1" ht="17.149999999999999" customHeight="1">
      <c r="B13" s="327" t="str">
        <f>IFERROR(Project.10&amp;" "&amp;WP.10&amp;" "&amp;Contract.10&amp;" "&amp;Type.10&amp;" "&amp;Activity.10," ")</f>
        <v xml:space="preserve">    </v>
      </c>
      <c r="C13" s="327"/>
      <c r="D13" s="88"/>
      <c r="E13" s="88"/>
      <c r="F13" s="88"/>
      <c r="G13" s="88"/>
      <c r="H13" s="88"/>
      <c r="I13" s="88"/>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9">
        <f t="shared" si="3"/>
        <v>0</v>
      </c>
      <c r="AJ13" s="185" t="str">
        <f t="shared" si="2"/>
        <v/>
      </c>
      <c r="AK13" s="188"/>
    </row>
    <row r="14" spans="2:37" s="64" customFormat="1" ht="17.149999999999999" customHeight="1">
      <c r="B14" s="327" t="str">
        <f>IFERROR(Project.11&amp;" "&amp;WP.11&amp;" "&amp;Contract.11&amp;" "&amp;Type.11&amp;" "&amp;Activity.11," ")</f>
        <v xml:space="preserve">    </v>
      </c>
      <c r="C14" s="327"/>
      <c r="D14" s="88"/>
      <c r="E14" s="88"/>
      <c r="F14" s="88"/>
      <c r="G14" s="88"/>
      <c r="H14" s="88"/>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9">
        <f t="shared" si="3"/>
        <v>0</v>
      </c>
      <c r="AJ14" s="185" t="str">
        <f t="shared" si="2"/>
        <v/>
      </c>
      <c r="AK14" s="188"/>
    </row>
    <row r="15" spans="2:37" s="64" customFormat="1" ht="17.149999999999999" customHeight="1">
      <c r="B15" s="327" t="str">
        <f>IFERROR(Project.12&amp;" "&amp;WP.12&amp;" "&amp;Contract.12&amp;" "&amp;Type.12&amp;" "&amp;Activity.12," ")</f>
        <v xml:space="preserve">    </v>
      </c>
      <c r="C15" s="327"/>
      <c r="D15" s="88"/>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9">
        <f t="shared" si="3"/>
        <v>0</v>
      </c>
      <c r="AJ15" s="185" t="str">
        <f t="shared" si="2"/>
        <v/>
      </c>
      <c r="AK15" s="188"/>
    </row>
    <row r="16" spans="2:37" s="64" customFormat="1" ht="17.149999999999999" customHeight="1">
      <c r="B16" s="327" t="str">
        <f>IFERROR(Project.13&amp;" "&amp;WP.13&amp;" "&amp;Contract.13&amp;" "&amp;Type.13&amp;" "&amp;Activity.13," ")</f>
        <v xml:space="preserve">    </v>
      </c>
      <c r="C16" s="327"/>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9">
        <f t="shared" si="3"/>
        <v>0</v>
      </c>
      <c r="AJ16" s="185" t="str">
        <f t="shared" si="2"/>
        <v/>
      </c>
      <c r="AK16" s="188"/>
    </row>
    <row r="17" spans="2:41" s="64" customFormat="1" ht="17.149999999999999" customHeight="1">
      <c r="B17" s="327" t="str">
        <f>IFERROR(Project.14&amp;" "&amp;WP.14&amp;" "&amp;Contract.14&amp;" "&amp;Type.14&amp;" "&amp;Activity.14," ")</f>
        <v xml:space="preserve">    </v>
      </c>
      <c r="C17" s="327"/>
      <c r="D17" s="88"/>
      <c r="E17" s="88"/>
      <c r="F17" s="88"/>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9">
        <f t="shared" si="3"/>
        <v>0</v>
      </c>
      <c r="AJ17" s="185" t="str">
        <f t="shared" si="2"/>
        <v/>
      </c>
      <c r="AK17" s="188"/>
    </row>
    <row r="18" spans="2:41" s="64" customFormat="1" ht="17.149999999999999" customHeight="1">
      <c r="B18" s="327" t="str">
        <f>IFERROR(Project.15&amp;" "&amp;WP.15&amp;" "&amp;Contract.15&amp;" "&amp;Type.15&amp;" "&amp;Activity.15," ")</f>
        <v xml:space="preserve">    </v>
      </c>
      <c r="C18" s="327"/>
      <c r="D18" s="88"/>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9">
        <f t="shared" si="3"/>
        <v>0</v>
      </c>
      <c r="AJ18" s="185" t="str">
        <f t="shared" si="2"/>
        <v/>
      </c>
      <c r="AK18" s="188"/>
    </row>
    <row r="19" spans="2:41" s="64" customFormat="1" ht="17.149999999999999" customHeight="1">
      <c r="B19" s="327" t="str">
        <f>IFERROR(Project.16&amp;" "&amp;WP.16&amp;" "&amp;Contract.16&amp;" "&amp;Type.16&amp;" "&amp;Activity.16," ")</f>
        <v xml:space="preserve">    </v>
      </c>
      <c r="C19" s="327"/>
      <c r="D19" s="88"/>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9">
        <f t="shared" si="3"/>
        <v>0</v>
      </c>
      <c r="AJ19" s="185" t="str">
        <f t="shared" si="2"/>
        <v/>
      </c>
      <c r="AK19" s="188"/>
    </row>
    <row r="20" spans="2:41" s="64" customFormat="1" ht="17.149999999999999" customHeight="1">
      <c r="B20" s="327" t="str">
        <f>IFERROR(Project.17&amp;" "&amp;WP.17&amp;" "&amp;Contract.17&amp;" "&amp;Type.17&amp;" "&amp;Activity.17," ")</f>
        <v xml:space="preserve">    </v>
      </c>
      <c r="C20" s="327"/>
      <c r="D20" s="88"/>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9">
        <f t="shared" si="3"/>
        <v>0</v>
      </c>
      <c r="AJ20" s="185" t="str">
        <f t="shared" si="2"/>
        <v/>
      </c>
      <c r="AK20" s="188"/>
    </row>
    <row r="21" spans="2:41" s="64" customFormat="1" ht="17.149999999999999" customHeight="1">
      <c r="B21" s="327" t="str">
        <f>IFERROR(Project.18&amp;" "&amp;WP.18&amp;" "&amp;Contract.18&amp;" "&amp;Type.18&amp;" "&amp;Activity.18," ")</f>
        <v xml:space="preserve">    </v>
      </c>
      <c r="C21" s="327"/>
      <c r="D21" s="88"/>
      <c r="E21" s="88"/>
      <c r="F21" s="88"/>
      <c r="G21" s="88"/>
      <c r="H21" s="88"/>
      <c r="I21" s="88"/>
      <c r="J21" s="88"/>
      <c r="K21" s="88"/>
      <c r="L21" s="88"/>
      <c r="M21" s="88"/>
      <c r="N21" s="88"/>
      <c r="O21" s="88"/>
      <c r="P21" s="88"/>
      <c r="Q21" s="88"/>
      <c r="R21" s="88"/>
      <c r="S21" s="88"/>
      <c r="T21" s="88"/>
      <c r="U21" s="88"/>
      <c r="V21" s="88"/>
      <c r="W21" s="88"/>
      <c r="X21" s="88"/>
      <c r="Y21" s="88"/>
      <c r="Z21" s="88"/>
      <c r="AA21" s="88"/>
      <c r="AB21" s="88"/>
      <c r="AC21" s="88"/>
      <c r="AD21" s="88"/>
      <c r="AE21" s="88"/>
      <c r="AF21" s="88"/>
      <c r="AG21" s="88"/>
      <c r="AH21" s="88"/>
      <c r="AI21" s="89">
        <f t="shared" si="3"/>
        <v>0</v>
      </c>
      <c r="AJ21" s="185" t="str">
        <f t="shared" si="2"/>
        <v/>
      </c>
      <c r="AK21" s="188"/>
    </row>
    <row r="22" spans="2:41" s="64" customFormat="1" ht="17.149999999999999" customHeight="1">
      <c r="B22" s="327" t="str">
        <f>IFERROR(Project.19&amp;" "&amp;WP.19&amp;" "&amp;Contract.19&amp;" "&amp;Type.19&amp;" "&amp;Activity.19," ")</f>
        <v xml:space="preserve">    </v>
      </c>
      <c r="C22" s="327"/>
      <c r="D22" s="88"/>
      <c r="E22" s="88"/>
      <c r="F22" s="88"/>
      <c r="G22" s="88"/>
      <c r="H22" s="88"/>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9">
        <f t="shared" si="3"/>
        <v>0</v>
      </c>
      <c r="AJ22" s="185" t="str">
        <f t="shared" si="2"/>
        <v/>
      </c>
      <c r="AK22" s="188"/>
    </row>
    <row r="23" spans="2:41" s="64" customFormat="1" ht="17.149999999999999" customHeight="1">
      <c r="B23" s="328" t="str">
        <f>IFERROR(Project.20&amp;" "&amp;WP.20&amp;" "&amp;Contract.20&amp;" "&amp;Type.20&amp;" "&amp;Activity.20," ")</f>
        <v xml:space="preserve">OTHER HOURS WORKED    </v>
      </c>
      <c r="C23" s="328"/>
      <c r="D23" s="88"/>
      <c r="E23" s="88"/>
      <c r="F23" s="88"/>
      <c r="G23" s="88"/>
      <c r="H23" s="88"/>
      <c r="I23" s="88"/>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9">
        <f t="shared" si="3"/>
        <v>0</v>
      </c>
      <c r="AJ23" s="185" t="str">
        <f t="shared" si="2"/>
        <v/>
      </c>
      <c r="AK23" s="188"/>
    </row>
    <row r="24" spans="2:41" s="64" customFormat="1" ht="17.149999999999999" customHeight="1">
      <c r="B24" s="207" t="s">
        <v>239</v>
      </c>
      <c r="C24" s="81"/>
      <c r="D24" s="208"/>
      <c r="E24" s="208"/>
      <c r="F24" s="208"/>
      <c r="G24" s="208"/>
      <c r="H24" s="208"/>
      <c r="I24" s="208"/>
      <c r="J24" s="208"/>
      <c r="K24" s="208"/>
      <c r="L24" s="208"/>
      <c r="M24" s="208"/>
      <c r="N24" s="208"/>
      <c r="O24" s="208"/>
      <c r="P24" s="208"/>
      <c r="Q24" s="208"/>
      <c r="R24" s="208"/>
      <c r="S24" s="208"/>
      <c r="T24" s="208"/>
      <c r="U24" s="208"/>
      <c r="V24" s="208"/>
      <c r="W24" s="208"/>
      <c r="X24" s="208"/>
      <c r="Y24" s="208"/>
      <c r="Z24" s="208"/>
      <c r="AA24" s="208"/>
      <c r="AB24" s="208"/>
      <c r="AC24" s="208"/>
      <c r="AD24" s="208"/>
      <c r="AE24" s="208"/>
      <c r="AF24" s="208"/>
      <c r="AG24" s="208"/>
      <c r="AH24" s="208"/>
      <c r="AI24" s="148">
        <f t="shared" ref="AI24" si="4">SUM(D24:AH24)</f>
        <v>0</v>
      </c>
      <c r="AJ24" s="149" t="str">
        <f>IFERROR(AI24/$AI$28,"")</f>
        <v/>
      </c>
      <c r="AK24" s="188"/>
    </row>
    <row r="25" spans="2:41" s="65" customFormat="1" ht="17.149999999999999" customHeight="1">
      <c r="B25" s="83" t="s">
        <v>56</v>
      </c>
      <c r="C25" s="84"/>
      <c r="D25" s="91">
        <f>D26</f>
        <v>0</v>
      </c>
      <c r="E25" s="91">
        <f t="shared" ref="E25:AH25" si="5">E26</f>
        <v>0</v>
      </c>
      <c r="F25" s="91">
        <f t="shared" si="5"/>
        <v>0</v>
      </c>
      <c r="G25" s="91">
        <f t="shared" si="5"/>
        <v>0</v>
      </c>
      <c r="H25" s="91">
        <f t="shared" si="5"/>
        <v>0</v>
      </c>
      <c r="I25" s="91">
        <f t="shared" si="5"/>
        <v>0</v>
      </c>
      <c r="J25" s="91">
        <f t="shared" si="5"/>
        <v>0</v>
      </c>
      <c r="K25" s="91">
        <f t="shared" si="5"/>
        <v>0</v>
      </c>
      <c r="L25" s="91">
        <f t="shared" si="5"/>
        <v>0</v>
      </c>
      <c r="M25" s="91">
        <f t="shared" si="5"/>
        <v>0</v>
      </c>
      <c r="N25" s="91">
        <f t="shared" si="5"/>
        <v>0</v>
      </c>
      <c r="O25" s="91">
        <f t="shared" si="5"/>
        <v>0</v>
      </c>
      <c r="P25" s="91">
        <f t="shared" si="5"/>
        <v>0</v>
      </c>
      <c r="Q25" s="91">
        <f t="shared" si="5"/>
        <v>0</v>
      </c>
      <c r="R25" s="91">
        <f t="shared" si="5"/>
        <v>0</v>
      </c>
      <c r="S25" s="91">
        <f t="shared" si="5"/>
        <v>0</v>
      </c>
      <c r="T25" s="91">
        <f t="shared" si="5"/>
        <v>0</v>
      </c>
      <c r="U25" s="91">
        <f t="shared" si="5"/>
        <v>0</v>
      </c>
      <c r="V25" s="91">
        <f t="shared" si="5"/>
        <v>0</v>
      </c>
      <c r="W25" s="91">
        <f t="shared" si="5"/>
        <v>0</v>
      </c>
      <c r="X25" s="91">
        <f t="shared" si="5"/>
        <v>0</v>
      </c>
      <c r="Y25" s="91">
        <f t="shared" si="5"/>
        <v>0</v>
      </c>
      <c r="Z25" s="91">
        <f t="shared" si="5"/>
        <v>0</v>
      </c>
      <c r="AA25" s="91">
        <f t="shared" si="5"/>
        <v>0</v>
      </c>
      <c r="AB25" s="91">
        <f t="shared" si="5"/>
        <v>0</v>
      </c>
      <c r="AC25" s="91">
        <f t="shared" si="5"/>
        <v>0</v>
      </c>
      <c r="AD25" s="91">
        <f t="shared" si="5"/>
        <v>0</v>
      </c>
      <c r="AE25" s="91">
        <f t="shared" si="5"/>
        <v>0</v>
      </c>
      <c r="AF25" s="91">
        <f t="shared" si="5"/>
        <v>0</v>
      </c>
      <c r="AG25" s="91">
        <f t="shared" si="5"/>
        <v>0</v>
      </c>
      <c r="AH25" s="91">
        <f t="shared" si="5"/>
        <v>0</v>
      </c>
      <c r="AI25" s="92"/>
      <c r="AJ25" s="82"/>
    </row>
    <row r="26" spans="2:41" s="64" customFormat="1" ht="17.149999999999999" customHeight="1">
      <c r="B26" s="318" t="s">
        <v>4</v>
      </c>
      <c r="C26" s="319"/>
      <c r="D26" s="93">
        <f t="shared" ref="D26:AH26" si="6">SUM(D4:D23)</f>
        <v>0</v>
      </c>
      <c r="E26" s="93">
        <f t="shared" si="6"/>
        <v>0</v>
      </c>
      <c r="F26" s="93">
        <f t="shared" si="6"/>
        <v>0</v>
      </c>
      <c r="G26" s="93">
        <f t="shared" si="6"/>
        <v>0</v>
      </c>
      <c r="H26" s="93">
        <f t="shared" si="6"/>
        <v>0</v>
      </c>
      <c r="I26" s="93">
        <f t="shared" si="6"/>
        <v>0</v>
      </c>
      <c r="J26" s="93">
        <f t="shared" si="6"/>
        <v>0</v>
      </c>
      <c r="K26" s="93">
        <f t="shared" si="6"/>
        <v>0</v>
      </c>
      <c r="L26" s="93">
        <f t="shared" si="6"/>
        <v>0</v>
      </c>
      <c r="M26" s="93">
        <f t="shared" si="6"/>
        <v>0</v>
      </c>
      <c r="N26" s="93">
        <f t="shared" si="6"/>
        <v>0</v>
      </c>
      <c r="O26" s="93">
        <f t="shared" si="6"/>
        <v>0</v>
      </c>
      <c r="P26" s="93">
        <f t="shared" si="6"/>
        <v>0</v>
      </c>
      <c r="Q26" s="93">
        <f t="shared" si="6"/>
        <v>0</v>
      </c>
      <c r="R26" s="93">
        <f t="shared" si="6"/>
        <v>0</v>
      </c>
      <c r="S26" s="93">
        <f t="shared" si="6"/>
        <v>0</v>
      </c>
      <c r="T26" s="93">
        <f t="shared" si="6"/>
        <v>0</v>
      </c>
      <c r="U26" s="93">
        <f t="shared" si="6"/>
        <v>0</v>
      </c>
      <c r="V26" s="93">
        <f t="shared" si="6"/>
        <v>0</v>
      </c>
      <c r="W26" s="93">
        <f t="shared" si="6"/>
        <v>0</v>
      </c>
      <c r="X26" s="93">
        <f t="shared" si="6"/>
        <v>0</v>
      </c>
      <c r="Y26" s="93">
        <f t="shared" si="6"/>
        <v>0</v>
      </c>
      <c r="Z26" s="93">
        <f t="shared" si="6"/>
        <v>0</v>
      </c>
      <c r="AA26" s="93">
        <f t="shared" si="6"/>
        <v>0</v>
      </c>
      <c r="AB26" s="93">
        <f t="shared" si="6"/>
        <v>0</v>
      </c>
      <c r="AC26" s="93">
        <f t="shared" si="6"/>
        <v>0</v>
      </c>
      <c r="AD26" s="93">
        <f t="shared" si="6"/>
        <v>0</v>
      </c>
      <c r="AE26" s="93">
        <f t="shared" si="6"/>
        <v>0</v>
      </c>
      <c r="AF26" s="93">
        <f t="shared" si="6"/>
        <v>0</v>
      </c>
      <c r="AG26" s="93">
        <f t="shared" si="6"/>
        <v>0</v>
      </c>
      <c r="AH26" s="93">
        <f t="shared" si="6"/>
        <v>0</v>
      </c>
      <c r="AI26" s="94">
        <f>SUM(D26:AH26)</f>
        <v>0</v>
      </c>
      <c r="AJ26" s="82"/>
      <c r="AK26" s="65"/>
      <c r="AL26" s="65"/>
      <c r="AM26" s="65"/>
      <c r="AN26" s="65"/>
      <c r="AO26" s="65"/>
    </row>
    <row r="27" spans="2:41" s="65" customFormat="1" ht="17.149999999999999" customHeight="1">
      <c r="B27" s="83" t="s">
        <v>56</v>
      </c>
      <c r="C27" s="84"/>
      <c r="D27" s="91"/>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2"/>
      <c r="AJ27" s="84"/>
    </row>
    <row r="28" spans="2:41" s="64" customFormat="1" ht="17.149999999999999" customHeight="1">
      <c r="B28" s="318" t="s">
        <v>5</v>
      </c>
      <c r="C28" s="319"/>
      <c r="D28" s="93">
        <f>SUM(D4:D24)</f>
        <v>0</v>
      </c>
      <c r="E28" s="93">
        <f t="shared" ref="E28:AH28" si="7">SUM(E4:E24)</f>
        <v>0</v>
      </c>
      <c r="F28" s="93">
        <f t="shared" si="7"/>
        <v>0</v>
      </c>
      <c r="G28" s="93">
        <f t="shared" si="7"/>
        <v>0</v>
      </c>
      <c r="H28" s="93">
        <f t="shared" si="7"/>
        <v>0</v>
      </c>
      <c r="I28" s="93">
        <f t="shared" si="7"/>
        <v>0</v>
      </c>
      <c r="J28" s="93">
        <f t="shared" si="7"/>
        <v>0</v>
      </c>
      <c r="K28" s="93">
        <f t="shared" si="7"/>
        <v>0</v>
      </c>
      <c r="L28" s="93">
        <f t="shared" si="7"/>
        <v>0</v>
      </c>
      <c r="M28" s="93">
        <f t="shared" si="7"/>
        <v>0</v>
      </c>
      <c r="N28" s="93">
        <f t="shared" si="7"/>
        <v>0</v>
      </c>
      <c r="O28" s="93">
        <f t="shared" si="7"/>
        <v>0</v>
      </c>
      <c r="P28" s="93">
        <f t="shared" si="7"/>
        <v>0</v>
      </c>
      <c r="Q28" s="93">
        <f t="shared" si="7"/>
        <v>0</v>
      </c>
      <c r="R28" s="93">
        <f t="shared" si="7"/>
        <v>0</v>
      </c>
      <c r="S28" s="93">
        <f t="shared" si="7"/>
        <v>0</v>
      </c>
      <c r="T28" s="93">
        <f t="shared" si="7"/>
        <v>0</v>
      </c>
      <c r="U28" s="93">
        <f t="shared" si="7"/>
        <v>0</v>
      </c>
      <c r="V28" s="93">
        <f t="shared" si="7"/>
        <v>0</v>
      </c>
      <c r="W28" s="93">
        <f t="shared" si="7"/>
        <v>0</v>
      </c>
      <c r="X28" s="93">
        <f t="shared" si="7"/>
        <v>0</v>
      </c>
      <c r="Y28" s="93">
        <f t="shared" si="7"/>
        <v>0</v>
      </c>
      <c r="Z28" s="93">
        <f t="shared" si="7"/>
        <v>0</v>
      </c>
      <c r="AA28" s="93">
        <f t="shared" si="7"/>
        <v>0</v>
      </c>
      <c r="AB28" s="93">
        <f t="shared" si="7"/>
        <v>0</v>
      </c>
      <c r="AC28" s="93">
        <f t="shared" si="7"/>
        <v>0</v>
      </c>
      <c r="AD28" s="93">
        <f t="shared" si="7"/>
        <v>0</v>
      </c>
      <c r="AE28" s="93">
        <f t="shared" si="7"/>
        <v>0</v>
      </c>
      <c r="AF28" s="93">
        <f t="shared" si="7"/>
        <v>0</v>
      </c>
      <c r="AG28" s="93">
        <f t="shared" si="7"/>
        <v>0</v>
      </c>
      <c r="AH28" s="93">
        <f t="shared" si="7"/>
        <v>0</v>
      </c>
      <c r="AI28" s="94">
        <f>SUM(D28:AH28)</f>
        <v>0</v>
      </c>
      <c r="AJ28" s="82"/>
    </row>
    <row r="29" spans="2:41" ht="17.25" customHeight="1">
      <c r="B29" s="53" t="s">
        <v>56</v>
      </c>
      <c r="C29" s="54"/>
      <c r="D29" s="47"/>
      <c r="E29" s="47"/>
      <c r="F29" s="47"/>
      <c r="G29" s="47"/>
      <c r="H29" s="47"/>
      <c r="I29" s="47"/>
      <c r="J29" s="47"/>
      <c r="K29" s="47"/>
      <c r="L29" s="47"/>
      <c r="M29" s="47"/>
      <c r="N29" s="47"/>
      <c r="O29" s="47"/>
      <c r="P29" s="47"/>
      <c r="Q29" s="47"/>
      <c r="R29" s="47"/>
      <c r="S29" s="47"/>
      <c r="T29" s="47"/>
      <c r="U29" s="47"/>
      <c r="V29" s="55"/>
      <c r="W29" s="55"/>
      <c r="X29" s="55"/>
      <c r="Y29" s="55"/>
      <c r="Z29" s="55"/>
      <c r="AA29" s="55"/>
      <c r="AB29" s="55"/>
      <c r="AC29" s="55"/>
      <c r="AD29" s="55"/>
      <c r="AE29" s="55"/>
      <c r="AF29" s="55"/>
      <c r="AG29" s="55"/>
      <c r="AH29" s="55"/>
      <c r="AI29" s="56"/>
      <c r="AJ29" s="11"/>
    </row>
    <row r="30" spans="2:41" ht="17.25" customHeight="1">
      <c r="B30" s="101" t="s">
        <v>8</v>
      </c>
      <c r="C30" s="102"/>
      <c r="D30" s="102"/>
      <c r="E30" s="102"/>
      <c r="F30" s="102"/>
      <c r="G30" s="103" t="s">
        <v>9</v>
      </c>
      <c r="H30" s="102"/>
      <c r="I30" s="11"/>
      <c r="J30" s="57"/>
      <c r="K30" s="11"/>
      <c r="L30" s="75"/>
      <c r="M30" s="11"/>
      <c r="N30" s="11"/>
      <c r="O30" s="11"/>
      <c r="P30" s="11"/>
      <c r="Q30" s="331" t="str">
        <f>'Start page'!D30</f>
        <v>• Missing information – Enter Project Acronym/name</v>
      </c>
      <c r="R30" s="331"/>
      <c r="S30" s="331"/>
      <c r="T30" s="331"/>
      <c r="U30" s="331"/>
      <c r="V30" s="331"/>
      <c r="W30" s="331"/>
      <c r="X30" s="331"/>
      <c r="Y30" s="331"/>
      <c r="Z30" s="331"/>
      <c r="AA30" s="331"/>
      <c r="AB30" s="331"/>
      <c r="AC30" s="331"/>
      <c r="AD30" s="331"/>
      <c r="AE30" s="331"/>
      <c r="AF30" s="331"/>
      <c r="AG30" s="331"/>
      <c r="AH30" s="331"/>
      <c r="AI30" s="331"/>
      <c r="AJ30" s="58"/>
    </row>
    <row r="31" spans="2:41" ht="15.5">
      <c r="B31" s="104" t="s">
        <v>56</v>
      </c>
      <c r="C31" s="95"/>
      <c r="D31" s="95"/>
      <c r="E31" s="95"/>
      <c r="F31" s="102"/>
      <c r="G31" s="95"/>
      <c r="H31" s="95"/>
      <c r="I31" s="11"/>
      <c r="J31" s="47"/>
      <c r="K31" s="47"/>
      <c r="L31" s="76"/>
      <c r="M31" s="47"/>
      <c r="N31" s="47"/>
      <c r="O31" s="47"/>
      <c r="P31" s="47"/>
      <c r="Q31" s="331"/>
      <c r="R31" s="331"/>
      <c r="S31" s="331"/>
      <c r="T31" s="331"/>
      <c r="U31" s="331"/>
      <c r="V31" s="331"/>
      <c r="W31" s="331"/>
      <c r="X31" s="331"/>
      <c r="Y31" s="331"/>
      <c r="Z31" s="331"/>
      <c r="AA31" s="331"/>
      <c r="AB31" s="331"/>
      <c r="AC31" s="331"/>
      <c r="AD31" s="331"/>
      <c r="AE31" s="331"/>
      <c r="AF31" s="331"/>
      <c r="AG31" s="331"/>
      <c r="AH31" s="331"/>
      <c r="AI31" s="331"/>
      <c r="AJ31" s="325" t="s">
        <v>230</v>
      </c>
      <c r="AK31" s="326"/>
    </row>
    <row r="32" spans="2:41" ht="15.5">
      <c r="B32" s="105" t="s">
        <v>56</v>
      </c>
      <c r="C32" s="106"/>
      <c r="D32" s="106"/>
      <c r="E32" s="95"/>
      <c r="F32" s="102"/>
      <c r="G32" s="106"/>
      <c r="H32" s="107"/>
      <c r="I32" s="61"/>
      <c r="J32" s="61"/>
      <c r="K32" s="61"/>
      <c r="L32" s="61"/>
      <c r="M32" s="61"/>
      <c r="N32" s="61"/>
      <c r="O32" s="47"/>
      <c r="P32" s="47"/>
      <c r="Q32" s="65"/>
      <c r="R32" s="65"/>
      <c r="S32" s="47"/>
      <c r="T32" s="47"/>
      <c r="U32" s="47"/>
      <c r="V32" s="47"/>
      <c r="W32" s="47"/>
      <c r="X32" s="316"/>
      <c r="Y32" s="316"/>
      <c r="Z32" s="316"/>
      <c r="AA32" s="316"/>
      <c r="AB32" s="317"/>
      <c r="AC32" s="317"/>
      <c r="AD32" s="58"/>
      <c r="AE32" s="316"/>
      <c r="AF32" s="316"/>
      <c r="AG32" s="316"/>
      <c r="AH32" s="316"/>
      <c r="AI32" s="77"/>
      <c r="AJ32" s="195">
        <v>1</v>
      </c>
      <c r="AK32" s="196" t="s">
        <v>234</v>
      </c>
    </row>
    <row r="33" spans="2:37" ht="15.5">
      <c r="B33" s="108">
        <f>Member</f>
        <v>0</v>
      </c>
      <c r="C33" s="95"/>
      <c r="D33" s="95"/>
      <c r="E33" s="95"/>
      <c r="F33" s="102"/>
      <c r="G33" s="95">
        <f>Supervisor</f>
        <v>0</v>
      </c>
      <c r="H33" s="102"/>
      <c r="I33" s="11"/>
      <c r="J33" s="47"/>
      <c r="K33" s="47"/>
      <c r="L33" s="47"/>
      <c r="M33" s="47"/>
      <c r="N33" s="47"/>
      <c r="O33" s="47"/>
      <c r="P33" s="47"/>
      <c r="Q33" s="331" t="str">
        <f>'Start page'!D6</f>
        <v>• Missing information – Fill in all names and title/function on the Start Page</v>
      </c>
      <c r="R33" s="331"/>
      <c r="S33" s="331"/>
      <c r="T33" s="331"/>
      <c r="U33" s="331"/>
      <c r="V33" s="331"/>
      <c r="W33" s="331"/>
      <c r="X33" s="331"/>
      <c r="Y33" s="331"/>
      <c r="Z33" s="331"/>
      <c r="AA33" s="331"/>
      <c r="AB33" s="331"/>
      <c r="AC33" s="331"/>
      <c r="AD33" s="331"/>
      <c r="AE33" s="331"/>
      <c r="AF33" s="331"/>
      <c r="AG33" s="331"/>
      <c r="AH33" s="331"/>
      <c r="AI33" s="331"/>
      <c r="AJ33" s="197">
        <v>2</v>
      </c>
      <c r="AK33" s="198" t="s">
        <v>231</v>
      </c>
    </row>
    <row r="34" spans="2:37" ht="18.75" customHeight="1">
      <c r="B34" s="109">
        <f>Title.member</f>
        <v>0</v>
      </c>
      <c r="C34" s="102"/>
      <c r="D34" s="95"/>
      <c r="E34" s="102"/>
      <c r="F34" s="102"/>
      <c r="G34" s="102">
        <f>Title.supervisor</f>
        <v>0</v>
      </c>
      <c r="H34" s="95"/>
      <c r="I34" s="11"/>
      <c r="J34" s="60"/>
      <c r="K34" s="11"/>
      <c r="L34" s="11"/>
      <c r="M34" s="11"/>
      <c r="N34" s="11"/>
      <c r="O34" s="47"/>
      <c r="P34" s="47"/>
      <c r="Q34" s="65"/>
      <c r="R34" s="65"/>
      <c r="S34" s="47"/>
      <c r="T34" s="47"/>
      <c r="U34" s="47"/>
      <c r="V34" s="47"/>
      <c r="W34" s="47"/>
      <c r="X34" s="179"/>
      <c r="Y34" s="179"/>
      <c r="Z34" s="179"/>
      <c r="AA34" s="179"/>
      <c r="AB34" s="180"/>
      <c r="AC34" s="180"/>
      <c r="AD34" s="58"/>
      <c r="AE34" s="181"/>
      <c r="AF34" s="181"/>
      <c r="AG34" s="181"/>
      <c r="AH34" s="181"/>
      <c r="AI34" s="59"/>
      <c r="AJ34" s="62"/>
    </row>
    <row r="35" spans="2:37" ht="18.75" customHeight="1">
      <c r="B35" s="109" t="s">
        <v>72</v>
      </c>
      <c r="C35" s="102"/>
      <c r="D35" s="95"/>
      <c r="E35" s="102"/>
      <c r="F35" s="102"/>
      <c r="G35" s="102" t="s">
        <v>73</v>
      </c>
      <c r="H35" s="95"/>
      <c r="I35" s="11"/>
      <c r="J35" s="60"/>
      <c r="K35" s="11"/>
      <c r="L35" s="11"/>
      <c r="M35" s="11"/>
      <c r="N35" s="11"/>
      <c r="O35" s="47"/>
      <c r="P35" s="47"/>
      <c r="Q35" s="65"/>
      <c r="R35" s="65"/>
      <c r="S35" s="47"/>
      <c r="T35" s="47"/>
      <c r="U35" s="47"/>
      <c r="V35" s="47"/>
      <c r="W35" s="47"/>
      <c r="X35" s="316"/>
      <c r="Y35" s="316"/>
      <c r="Z35" s="316"/>
      <c r="AA35" s="316"/>
      <c r="AB35" s="317"/>
      <c r="AC35" s="317"/>
      <c r="AD35" s="58"/>
      <c r="AE35" s="320"/>
      <c r="AF35" s="320"/>
      <c r="AG35" s="320"/>
      <c r="AH35" s="320"/>
      <c r="AI35" s="59"/>
      <c r="AJ35" s="62"/>
    </row>
    <row r="36" spans="2:37" ht="12" customHeight="1">
      <c r="B36" s="109"/>
      <c r="C36" s="102"/>
      <c r="D36" s="95"/>
      <c r="E36" s="102"/>
      <c r="F36" s="102"/>
      <c r="G36" s="102"/>
      <c r="H36" s="95"/>
      <c r="I36" s="11"/>
      <c r="J36" s="60"/>
      <c r="K36" s="11"/>
      <c r="L36" s="11"/>
      <c r="M36" s="11"/>
      <c r="N36" s="11"/>
      <c r="O36" s="47"/>
      <c r="P36" s="47"/>
      <c r="Q36" s="65"/>
      <c r="R36" s="65"/>
      <c r="S36" s="47"/>
      <c r="T36" s="47"/>
      <c r="U36" s="47"/>
      <c r="V36" s="47"/>
      <c r="W36" s="47"/>
      <c r="X36" s="77"/>
      <c r="Y36" s="77"/>
      <c r="Z36" s="77"/>
      <c r="AA36" s="77"/>
      <c r="AB36" s="78"/>
      <c r="AC36" s="78"/>
      <c r="AD36" s="58"/>
      <c r="AE36" s="79"/>
      <c r="AF36" s="79"/>
      <c r="AG36" s="79"/>
      <c r="AH36" s="79"/>
      <c r="AI36" s="59"/>
      <c r="AJ36" s="62"/>
    </row>
    <row r="37" spans="2:37" ht="23.25" customHeight="1">
      <c r="B37" s="105" t="s">
        <v>56</v>
      </c>
      <c r="C37" s="95"/>
      <c r="D37" s="106"/>
      <c r="E37" s="102"/>
      <c r="F37" s="102"/>
      <c r="G37" s="106"/>
      <c r="H37" s="110" t="s">
        <v>56</v>
      </c>
      <c r="I37" s="61"/>
      <c r="J37" s="61"/>
      <c r="K37" s="61"/>
      <c r="L37" s="61"/>
      <c r="M37" s="61"/>
      <c r="N37" s="61"/>
      <c r="O37" s="47"/>
      <c r="P37" s="47"/>
      <c r="Q37" s="331" t="str">
        <f>'Start page'!D29</f>
        <v/>
      </c>
      <c r="R37" s="331"/>
      <c r="S37" s="331"/>
      <c r="T37" s="331"/>
      <c r="U37" s="331"/>
      <c r="V37" s="331"/>
      <c r="W37" s="331"/>
      <c r="X37" s="331"/>
      <c r="Y37" s="331"/>
      <c r="Z37" s="331"/>
      <c r="AA37" s="331"/>
      <c r="AB37" s="331"/>
      <c r="AC37" s="331"/>
      <c r="AD37" s="331"/>
      <c r="AE37" s="331"/>
      <c r="AF37" s="331"/>
      <c r="AG37" s="331"/>
      <c r="AH37" s="331"/>
      <c r="AI37" s="331"/>
      <c r="AJ37" s="47"/>
    </row>
    <row r="38" spans="2:37" ht="19.5" customHeight="1">
      <c r="B38" s="108" t="s">
        <v>1</v>
      </c>
      <c r="C38" s="108"/>
      <c r="D38" s="95"/>
      <c r="E38" s="102"/>
      <c r="F38" s="102"/>
      <c r="G38" s="95" t="s">
        <v>1</v>
      </c>
      <c r="H38" s="102"/>
      <c r="I38" s="47"/>
      <c r="J38" s="47"/>
      <c r="K38" s="47"/>
      <c r="L38" s="47"/>
      <c r="M38" s="47"/>
      <c r="N38" s="47"/>
      <c r="O38" s="47"/>
      <c r="P38" s="47"/>
      <c r="Q38" s="47"/>
      <c r="R38" s="65"/>
      <c r="S38" s="47"/>
      <c r="T38" s="47"/>
      <c r="U38" s="47"/>
      <c r="V38" s="47"/>
      <c r="W38" s="77"/>
      <c r="X38" s="77"/>
      <c r="Y38" s="77"/>
      <c r="Z38" s="77"/>
      <c r="AA38" s="79"/>
      <c r="AB38" s="79"/>
      <c r="AC38" s="77"/>
      <c r="AD38" s="77"/>
      <c r="AE38" s="77"/>
      <c r="AF38" s="77"/>
      <c r="AG38" s="77"/>
      <c r="AH38" s="77"/>
      <c r="AI38" s="47"/>
      <c r="AJ38" s="11"/>
    </row>
    <row r="39" spans="2:37" ht="14.5">
      <c r="B39" s="37" t="s">
        <v>56</v>
      </c>
      <c r="C39" s="37">
        <f>ROW()</f>
        <v>39</v>
      </c>
      <c r="D39" s="64"/>
      <c r="E39" s="64"/>
      <c r="F39" s="64"/>
      <c r="G39" s="64"/>
      <c r="H39" s="64"/>
      <c r="I39" s="64"/>
      <c r="J39" s="64"/>
      <c r="K39" s="64"/>
      <c r="L39" s="64"/>
      <c r="M39" s="64"/>
      <c r="N39" s="64"/>
      <c r="O39" s="64"/>
      <c r="P39" s="65"/>
      <c r="Q39" s="65"/>
      <c r="R39" s="65"/>
      <c r="S39" s="65"/>
      <c r="T39" s="65"/>
      <c r="U39" s="65"/>
      <c r="V39" s="65"/>
      <c r="W39" s="65"/>
      <c r="X39" s="65"/>
      <c r="Y39" s="65"/>
      <c r="Z39" s="65"/>
      <c r="AA39" s="65"/>
      <c r="AB39" s="65"/>
      <c r="AC39" s="314"/>
      <c r="AD39" s="322"/>
      <c r="AE39" s="322"/>
      <c r="AF39" s="322"/>
      <c r="AG39" s="322"/>
      <c r="AH39" s="322"/>
      <c r="AI39" s="65"/>
    </row>
    <row r="40" spans="2:37" ht="14.5">
      <c r="P40" s="34"/>
      <c r="Q40" s="34"/>
      <c r="R40" s="34"/>
      <c r="S40" s="34"/>
      <c r="T40" s="34"/>
      <c r="U40" s="34"/>
      <c r="V40" s="34"/>
      <c r="W40" s="34"/>
      <c r="X40" s="34"/>
      <c r="Y40" s="34"/>
      <c r="Z40" s="34"/>
      <c r="AA40" s="34"/>
      <c r="AB40" s="34"/>
      <c r="AC40" s="323"/>
      <c r="AD40" s="324"/>
      <c r="AE40" s="324"/>
      <c r="AF40" s="324"/>
      <c r="AG40" s="324"/>
      <c r="AH40" s="324"/>
      <c r="AI40" s="34"/>
    </row>
    <row r="41" spans="2:37" ht="14.5">
      <c r="B41" s="306" t="s">
        <v>235</v>
      </c>
      <c r="C41" s="307"/>
      <c r="D41" s="307"/>
      <c r="E41" s="307"/>
      <c r="F41" s="307"/>
      <c r="G41" s="308"/>
      <c r="H41" s="308"/>
      <c r="I41" s="309"/>
      <c r="J41" s="309"/>
      <c r="K41" s="309"/>
      <c r="L41" s="309"/>
      <c r="M41" s="309"/>
      <c r="N41" s="309"/>
      <c r="O41" s="310"/>
      <c r="P41" s="34"/>
      <c r="Q41" s="34"/>
      <c r="R41" s="34"/>
      <c r="S41" s="34"/>
      <c r="T41" s="34"/>
      <c r="U41" s="34"/>
      <c r="V41" s="34"/>
      <c r="W41" s="34"/>
      <c r="X41" s="34"/>
      <c r="Y41" s="34"/>
      <c r="Z41" s="34"/>
      <c r="AA41" s="34"/>
      <c r="AB41" s="34"/>
      <c r="AC41" s="314"/>
      <c r="AD41" s="315"/>
      <c r="AE41" s="315"/>
      <c r="AF41" s="315"/>
      <c r="AG41" s="315"/>
      <c r="AH41" s="315"/>
      <c r="AI41" s="34"/>
    </row>
    <row r="42" spans="2:37" ht="14.5">
      <c r="B42" s="311"/>
      <c r="C42" s="312"/>
      <c r="D42" s="312"/>
      <c r="E42" s="312"/>
      <c r="F42" s="312"/>
      <c r="G42" s="312"/>
      <c r="H42" s="312"/>
      <c r="I42" s="312"/>
      <c r="J42" s="312"/>
      <c r="K42" s="312"/>
      <c r="L42" s="312"/>
      <c r="M42" s="312"/>
      <c r="N42" s="312"/>
      <c r="O42" s="313"/>
      <c r="P42" s="34"/>
      <c r="Q42" s="34"/>
      <c r="R42" s="34"/>
      <c r="S42" s="34"/>
      <c r="T42" s="34"/>
      <c r="U42" s="34"/>
      <c r="V42" s="34"/>
      <c r="W42" s="34"/>
      <c r="X42" s="34"/>
      <c r="Y42" s="34"/>
      <c r="Z42" s="34"/>
      <c r="AA42" s="34"/>
      <c r="AB42" s="34"/>
      <c r="AC42" s="314"/>
      <c r="AD42" s="315"/>
      <c r="AE42" s="315"/>
      <c r="AF42" s="315"/>
      <c r="AG42" s="315"/>
      <c r="AH42" s="315"/>
      <c r="AI42" s="34"/>
    </row>
    <row r="43" spans="2:37" ht="14.5">
      <c r="P43" s="34"/>
      <c r="Q43" s="34"/>
      <c r="R43" s="34"/>
      <c r="S43" s="34"/>
      <c r="T43" s="34"/>
      <c r="U43" s="34"/>
      <c r="V43" s="34"/>
      <c r="W43" s="34"/>
      <c r="X43" s="34"/>
      <c r="Y43" s="34"/>
      <c r="Z43" s="34"/>
      <c r="AA43" s="34"/>
      <c r="AB43" s="34"/>
      <c r="AC43" s="34"/>
      <c r="AD43" s="34"/>
      <c r="AE43" s="34"/>
      <c r="AF43" s="34"/>
      <c r="AG43" s="34"/>
      <c r="AH43" s="34"/>
      <c r="AI43" s="34"/>
    </row>
    <row r="44" spans="2:37" ht="14.5">
      <c r="P44" s="34"/>
      <c r="Q44" s="34"/>
      <c r="R44" s="34"/>
      <c r="S44" s="34"/>
      <c r="T44" s="34"/>
      <c r="U44" s="34"/>
      <c r="V44" s="34"/>
      <c r="W44" s="34"/>
      <c r="X44" s="34"/>
      <c r="Y44" s="34"/>
      <c r="Z44" s="34"/>
      <c r="AA44" s="34"/>
      <c r="AB44" s="34"/>
      <c r="AC44" s="34"/>
      <c r="AD44" s="34"/>
      <c r="AE44" s="34"/>
      <c r="AF44" s="34"/>
      <c r="AG44" s="34"/>
      <c r="AH44" s="34"/>
      <c r="AI44" s="34"/>
    </row>
    <row r="45" spans="2:37" ht="14.5"/>
    <row r="46" spans="2:37" ht="14.5"/>
    <row r="47" spans="2:37" ht="14.5"/>
    <row r="48" spans="2:37" ht="14.5"/>
    <row r="49" ht="14.5"/>
    <row r="50" ht="14.5"/>
    <row r="51" ht="14.5"/>
    <row r="52" ht="14.5"/>
    <row r="53" ht="14.5"/>
    <row r="54" ht="14.5"/>
    <row r="55" ht="14.5"/>
    <row r="56" ht="14.5"/>
    <row r="57" ht="14.5"/>
    <row r="58" ht="14.5"/>
    <row r="59" ht="14.5"/>
    <row r="60" ht="14.5"/>
    <row r="61" ht="14.5"/>
    <row r="62" ht="14.5"/>
    <row r="63" ht="14.5"/>
    <row r="64" ht="14.5"/>
    <row r="65" ht="14.5"/>
    <row r="66" ht="14.5"/>
    <row r="67" ht="14.5"/>
    <row r="68" ht="14.5"/>
    <row r="69" ht="14.5"/>
    <row r="70" ht="14.5"/>
    <row r="71" ht="14.5"/>
    <row r="72" ht="14.5"/>
    <row r="73" ht="14.5"/>
    <row r="74" ht="14.5"/>
    <row r="75" ht="14.5"/>
    <row r="76" ht="14.5"/>
    <row r="77" ht="14.5"/>
    <row r="78" ht="14.5"/>
    <row r="79" ht="14.5"/>
    <row r="80" ht="14.5"/>
    <row r="81" ht="14.5"/>
    <row r="82" ht="14.5"/>
    <row r="83" ht="14.5"/>
    <row r="84" ht="14.5"/>
    <row r="85" ht="14.5"/>
    <row r="86" ht="14.5"/>
    <row r="87" ht="14.5"/>
    <row r="88" ht="14.5"/>
    <row r="89" ht="14.5"/>
    <row r="90" ht="14.5"/>
    <row r="91" ht="14.5"/>
    <row r="92" ht="14.5"/>
    <row r="93" ht="14.5"/>
    <row r="94" ht="14.5"/>
    <row r="95" ht="14.5"/>
    <row r="96" ht="14.5"/>
    <row r="97" ht="14.5"/>
    <row r="98" ht="14.5"/>
    <row r="99" ht="14.5"/>
    <row r="100" ht="14.5"/>
    <row r="101" ht="14.5"/>
    <row r="102" ht="14.5"/>
    <row r="103" ht="14.5"/>
    <row r="104" ht="14.5"/>
    <row r="105" ht="14.5"/>
    <row r="106" ht="14.5"/>
    <row r="107" ht="14.5"/>
    <row r="108" ht="14.5"/>
    <row r="109" ht="14.5"/>
    <row r="110" ht="14.5"/>
    <row r="111" ht="14.5"/>
    <row r="112" ht="14.5"/>
    <row r="113" ht="14.5"/>
    <row r="114" ht="14.5"/>
    <row r="115" ht="14.5"/>
    <row r="116" ht="14.5"/>
    <row r="117" ht="14.5"/>
    <row r="118" ht="14.5"/>
    <row r="119" ht="14.5"/>
    <row r="120" ht="14.5"/>
    <row r="121" ht="14.5"/>
    <row r="122" ht="14.5"/>
    <row r="123" ht="14.5"/>
    <row r="124" ht="14.5"/>
    <row r="125" ht="14.5"/>
    <row r="126" ht="14.5"/>
    <row r="127" ht="14.5"/>
    <row r="128" ht="14.5"/>
    <row r="129" ht="14.5"/>
    <row r="130" ht="14.5"/>
    <row r="131" ht="14.5"/>
    <row r="132" ht="14.5"/>
    <row r="133" ht="14.5"/>
    <row r="134" ht="14.5"/>
    <row r="135" ht="14.5"/>
    <row r="136" ht="14.5"/>
    <row r="137" ht="14.5"/>
    <row r="138" ht="14.5"/>
    <row r="139" ht="14.5"/>
    <row r="140" ht="14.5"/>
    <row r="141" ht="14.5"/>
    <row r="142" ht="14.5"/>
    <row r="143" ht="14.5"/>
    <row r="144" ht="14.5"/>
    <row r="145" ht="14.5"/>
    <row r="146" ht="14.5"/>
    <row r="147" ht="14.5"/>
    <row r="148" ht="14.5"/>
    <row r="149" ht="14.5"/>
    <row r="150" ht="14.5"/>
    <row r="151" ht="14.5"/>
    <row r="152" ht="14.5"/>
    <row r="153" ht="14.5"/>
    <row r="154" ht="14.5"/>
    <row r="155" ht="14.5"/>
    <row r="156" ht="14.5"/>
    <row r="157" ht="14.5"/>
    <row r="158" ht="14.5"/>
    <row r="159" ht="14.5"/>
    <row r="160" ht="15" customHeight="1"/>
    <row r="161" ht="15" customHeight="1"/>
    <row r="162" ht="15" customHeight="1"/>
    <row r="163" ht="15" customHeight="1"/>
    <row r="164" ht="15" customHeight="1"/>
  </sheetData>
  <sheetProtection algorithmName="SHA-512" hashValue="1ZtHALQorFSODs5KnxF7sF7WZ9bCSd1G5Jr44YV7C5WiDuXgvcHhyPOLoNE+gNOC7uPZEwjEh9v1Nwm2lEGN/w==" saltValue="T/VNzmzrEZogZigGhzieyA==" spinCount="100000" sheet="1" selectLockedCells="1"/>
  <mergeCells count="38">
    <mergeCell ref="B41:O42"/>
    <mergeCell ref="B8:C8"/>
    <mergeCell ref="B4:C4"/>
    <mergeCell ref="B5:C5"/>
    <mergeCell ref="B6:C6"/>
    <mergeCell ref="B7:C7"/>
    <mergeCell ref="B20:C20"/>
    <mergeCell ref="B9:C9"/>
    <mergeCell ref="B10:C10"/>
    <mergeCell ref="B11:C11"/>
    <mergeCell ref="B12:C12"/>
    <mergeCell ref="B13:C13"/>
    <mergeCell ref="B14:C14"/>
    <mergeCell ref="B15:C15"/>
    <mergeCell ref="B16:C16"/>
    <mergeCell ref="B17:C17"/>
    <mergeCell ref="B18:C18"/>
    <mergeCell ref="B19:C19"/>
    <mergeCell ref="B21:C21"/>
    <mergeCell ref="B22:C22"/>
    <mergeCell ref="B23:C23"/>
    <mergeCell ref="Q30:AI30"/>
    <mergeCell ref="X35:AA35"/>
    <mergeCell ref="AB35:AC35"/>
    <mergeCell ref="AE35:AH35"/>
    <mergeCell ref="B26:C26"/>
    <mergeCell ref="B28:C28"/>
    <mergeCell ref="AC40:AH40"/>
    <mergeCell ref="AC41:AH41"/>
    <mergeCell ref="AC42:AH42"/>
    <mergeCell ref="AC39:AH39"/>
    <mergeCell ref="AJ31:AK31"/>
    <mergeCell ref="Q37:AI37"/>
    <mergeCell ref="X32:AA32"/>
    <mergeCell ref="AB32:AC32"/>
    <mergeCell ref="AE32:AH32"/>
    <mergeCell ref="Q33:AI33"/>
    <mergeCell ref="Q31:AI31"/>
  </mergeCells>
  <conditionalFormatting sqref="D3:AH3">
    <cfRule type="expression" dxfId="227" priority="37">
      <formula>MATCH(D3,INDIRECT("Fixed_weekdays[DateInYear]"),0)&gt;0</formula>
    </cfRule>
  </conditionalFormatting>
  <conditionalFormatting sqref="D3:AH3">
    <cfRule type="expression" dxfId="226" priority="36">
      <formula>MATCH(D3,INDIRECT("Fixed_dates[DateInYear]"),0)&gt;0</formula>
    </cfRule>
  </conditionalFormatting>
  <conditionalFormatting sqref="D3:AH3">
    <cfRule type="expression" dxfId="225" priority="35">
      <formula>AND(INDEX(INDIRECT("Shortened[WorkHours]"),MATCH(D3,INDIRECT("Shortened[DateInYear]"),0),0)&gt;0,INDEX(INDIRECT("Shortened[WorkHours]"),MATCH(D3,INDIRECT("Shortened[DateInYear]"),0),0)&lt;8)</formula>
    </cfRule>
  </conditionalFormatting>
  <conditionalFormatting sqref="D3:AH3">
    <cfRule type="expression" dxfId="224" priority="34">
      <formula>AND(INDEX(INDIRECT("Clamp[WorkHours]"),MATCH(C3,INDIRECT("Clamp[DateInYear]"),0),0)&gt;0,INDEX(INDIRECT("Clamp[WorkHours]"),MATCH(C3,INDIRECT("Clamp[DateInYear]"),0),0)&lt;8)</formula>
    </cfRule>
  </conditionalFormatting>
  <conditionalFormatting sqref="D3:AH3">
    <cfRule type="expression" dxfId="223" priority="32">
      <formula>INDEX(INDIRECT("Shortened[WorkHours]"),MATCH(D3,INDIRECT("Shortened[DateInYear]"),0),0)&gt;7</formula>
    </cfRule>
    <cfRule type="expression" dxfId="222" priority="33">
      <formula>INDEX(INDIRECT("Clamp[WorkHours]"),MATCH(D3,INDIRECT("Clamp[DateInYear]"),0),0)&gt;7</formula>
    </cfRule>
  </conditionalFormatting>
  <conditionalFormatting sqref="D3:AH3">
    <cfRule type="expression" dxfId="221" priority="31">
      <formula>OR(WEEKDAY(D3,2)=6,WEEKDAY(D3,2)=7)</formula>
    </cfRule>
  </conditionalFormatting>
  <conditionalFormatting sqref="B4:C22">
    <cfRule type="containsText" dxfId="220" priority="22" operator="containsText" text="Other US">
      <formula>NOT(ISERROR(SEARCH("Other US",B4)))</formula>
    </cfRule>
    <cfRule type="containsText" dxfId="219" priority="23" operator="containsText" text="US Army">
      <formula>NOT(ISERROR(SEARCH("US Army",B4)))</formula>
    </cfRule>
    <cfRule type="containsText" dxfId="218" priority="25" operator="containsText" text="NIH">
      <formula>NOT(ISERROR(SEARCH("NIH",B4)))</formula>
    </cfRule>
    <cfRule type="containsText" dxfId="217" priority="26" operator="containsText" text="FP7">
      <formula>NOT(ISERROR(SEARCH("FP7",B4)))</formula>
    </cfRule>
    <cfRule type="containsText" dxfId="216" priority="27" operator="containsText" text="H2020">
      <formula>NOT(ISERROR(SEARCH("H2020",B4)))</formula>
    </cfRule>
    <cfRule type="containsText" dxfId="215" priority="28" operator="containsText" text="Sida">
      <formula>NOT(ISERROR(SEARCH("Sida",B4)))</formula>
    </cfRule>
    <cfRule type="containsText" dxfId="214" priority="29" operator="containsText" text="Other">
      <formula>NOT(ISERROR(SEARCH("Other",B4)))</formula>
    </cfRule>
  </conditionalFormatting>
  <conditionalFormatting sqref="D4:AH23">
    <cfRule type="expression" dxfId="213" priority="20">
      <formula>D$2</formula>
    </cfRule>
  </conditionalFormatting>
  <conditionalFormatting sqref="D25:AH25">
    <cfRule type="iconSet" priority="19">
      <iconSet iconSet="3Flags">
        <cfvo type="percent" val="0"/>
        <cfvo type="percent" val="33"/>
        <cfvo type="percent" val="67"/>
      </iconSet>
    </cfRule>
  </conditionalFormatting>
  <conditionalFormatting sqref="D25:AH25">
    <cfRule type="iconSet" priority="18">
      <iconSet iconSet="3Flags">
        <cfvo type="percent" val="0"/>
        <cfvo type="percent" val="33"/>
        <cfvo type="percent" val="67"/>
      </iconSet>
    </cfRule>
  </conditionalFormatting>
  <conditionalFormatting sqref="AJ31">
    <cfRule type="expression" dxfId="212" priority="5">
      <formula>AK$2</formula>
    </cfRule>
  </conditionalFormatting>
  <conditionalFormatting sqref="D26:AH26">
    <cfRule type="cellIs" dxfId="211" priority="1" operator="greaterThan">
      <formula>24</formula>
    </cfRule>
    <cfRule type="cellIs" dxfId="210" priority="2" operator="greaterThan">
      <formula>14</formula>
    </cfRule>
  </conditionalFormatting>
  <dataValidations count="1">
    <dataValidation type="decimal" allowBlank="1" showInputMessage="1" showErrorMessage="1" errorTitle="ERROR !" error="You may report min 0,5 and max 24 hrs per WP or Project" sqref="D4:AH23" xr:uid="{00000000-0002-0000-0600-000000000000}">
      <formula1>0.5</formula1>
      <formula2>24</formula2>
    </dataValidation>
  </dataValidations>
  <printOptions horizontalCentered="1" verticalCentered="1"/>
  <pageMargins left="0.7" right="0.7" top="1.2072916666666667" bottom="0.75" header="0.45652173913043476" footer="0.3"/>
  <pageSetup paperSize="9" scale="50" orientation="landscape" r:id="rId1"/>
  <headerFooter>
    <oddHeader>&amp;L&amp;G&amp;C&amp;24TIMESHEET</oddHeader>
  </headerFooter>
  <legacyDrawingHF r:id="rId2"/>
  <extLst>
    <ext xmlns:x14="http://schemas.microsoft.com/office/spreadsheetml/2009/9/main" uri="{78C0D931-6437-407d-A8EE-F0AAD7539E65}">
      <x14:conditionalFormattings>
        <x14:conditionalFormatting xmlns:xm="http://schemas.microsoft.com/office/excel/2006/main">
          <x14:cfRule type="containsText" priority="24" operator="containsText" id="{BFD350C1-6B34-4396-BD09-DC351B692050}">
            <xm:f>NOT(ISERROR(SEARCH("Non-project",B4)))</xm:f>
            <xm:f>"Non-project"</xm:f>
            <x14:dxf>
              <fill>
                <patternFill>
                  <bgColor theme="6" tint="0.59996337778862885"/>
                </patternFill>
              </fill>
            </x14:dxf>
          </x14:cfRule>
          <xm:sqref>B4:C22</xm:sqref>
        </x14:conditionalFormatting>
        <x14:conditionalFormatting xmlns:xm="http://schemas.microsoft.com/office/excel/2006/main">
          <x14:cfRule type="iconSet" priority="17" id="{40A67C08-2502-4E72-87E4-B340C8FB3842}">
            <x14:iconSet iconSet="3Flags" showValue="0" custom="1">
              <x14:cfvo type="percent">
                <xm:f>0</xm:f>
              </x14:cfvo>
              <x14:cfvo type="num" gte="0">
                <xm:f>14</xm:f>
              </x14:cfvo>
              <x14:cfvo type="num" gte="0">
                <xm:f>24</xm:f>
              </x14:cfvo>
              <x14:cfIcon iconSet="NoIcons" iconId="0"/>
              <x14:cfIcon iconSet="3Flags" iconId="1"/>
              <x14:cfIcon iconSet="3Flags" iconId="0"/>
            </x14:iconSet>
          </x14:cfRule>
          <xm:sqref>D25:AH25</xm:sqref>
        </x14:conditionalFormatting>
        <x14:conditionalFormatting xmlns:xm="http://schemas.microsoft.com/office/excel/2006/main">
          <x14:cfRule type="iconSet" priority="4" id="{36B9CF68-F8F7-4029-A489-C6BB015D75A5}">
            <x14:iconSet iconSet="3Flags" showValue="0" custom="1">
              <x14:cfvo type="percent">
                <xm:f>0</xm:f>
              </x14:cfvo>
              <x14:cfvo type="num">
                <xm:f>0</xm:f>
              </x14:cfvo>
              <x14:cfvo type="num" gte="0">
                <xm:f>0</xm:f>
              </x14:cfvo>
              <x14:cfIcon iconSet="NoIcons" iconId="0"/>
              <x14:cfIcon iconSet="NoIcons" iconId="0"/>
              <x14:cfIcon iconSet="3Flags" iconId="1"/>
            </x14:iconSet>
          </x14:cfRule>
          <xm:sqref>AJ32</xm:sqref>
        </x14:conditionalFormatting>
        <x14:conditionalFormatting xmlns:xm="http://schemas.microsoft.com/office/excel/2006/main">
          <x14:cfRule type="iconSet" priority="3" id="{98739F7A-6028-4485-8BF8-8EFF72AD9A45}">
            <x14:iconSet iconSet="3Flags" showValue="0" custom="1">
              <x14:cfvo type="percent">
                <xm:f>0</xm:f>
              </x14:cfvo>
              <x14:cfvo type="num">
                <xm:f>0</xm:f>
              </x14:cfvo>
              <x14:cfvo type="num" gte="0">
                <xm:f>0</xm:f>
              </x14:cfvo>
              <x14:cfIcon iconSet="NoIcons" iconId="0"/>
              <x14:cfIcon iconSet="NoIcons" iconId="0"/>
              <x14:cfIcon iconSet="3Flags" iconId="0"/>
            </x14:iconSet>
          </x14:cfRule>
          <xm:sqref>AJ33</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5">
    <tabColor theme="5" tint="-0.249977111117893"/>
    <pageSetUpPr fitToPage="1"/>
  </sheetPr>
  <dimension ref="B1:AO164"/>
  <sheetViews>
    <sheetView showGridLines="0" showZeros="0" zoomScale="40" zoomScaleNormal="40" zoomScaleSheetLayoutView="55" workbookViewId="0">
      <selection activeCell="D4" sqref="D4"/>
    </sheetView>
  </sheetViews>
  <sheetFormatPr defaultColWidth="0" defaultRowHeight="15" customHeight="1" zeroHeight="1"/>
  <cols>
    <col min="1" max="1" width="1.54296875" style="12" customWidth="1"/>
    <col min="2" max="3" width="25.7265625" style="12" customWidth="1"/>
    <col min="4" max="33" width="5.26953125" style="12" customWidth="1"/>
    <col min="34" max="34" width="5.26953125" style="12" hidden="1" customWidth="1"/>
    <col min="35" max="35" width="10.81640625" style="12" customWidth="1"/>
    <col min="36" max="36" width="8.1796875" style="12" bestFit="1" customWidth="1"/>
    <col min="37" max="37" width="29.26953125" style="12" customWidth="1"/>
    <col min="38" max="38" width="5.81640625" style="118" customWidth="1"/>
    <col min="39" max="16383" width="9.1796875" style="12" customWidth="1"/>
    <col min="16384" max="16384" width="2.1796875" style="12" customWidth="1"/>
  </cols>
  <sheetData>
    <row r="1" spans="2:38" ht="21">
      <c r="B1" s="96" t="s">
        <v>77</v>
      </c>
      <c r="C1" s="96">
        <f>Year</f>
        <v>2021</v>
      </c>
      <c r="D1" s="97"/>
      <c r="E1" s="97"/>
      <c r="F1" s="97"/>
      <c r="G1" s="97"/>
      <c r="H1" s="97"/>
      <c r="I1" s="97"/>
      <c r="J1" s="97"/>
      <c r="K1" s="97"/>
      <c r="L1" s="97"/>
      <c r="M1" s="97"/>
      <c r="N1" s="114"/>
      <c r="O1" s="97"/>
      <c r="P1" s="98" t="s">
        <v>6</v>
      </c>
      <c r="Q1" s="99">
        <f>Member</f>
        <v>0</v>
      </c>
      <c r="R1" s="97"/>
      <c r="S1" s="48"/>
      <c r="T1" s="48"/>
      <c r="U1" s="48"/>
      <c r="V1" s="48"/>
      <c r="W1" s="48"/>
      <c r="X1" s="48"/>
      <c r="Y1" s="48"/>
      <c r="Z1" s="48"/>
      <c r="AA1" s="48"/>
      <c r="AB1" s="48"/>
      <c r="AC1" s="115"/>
      <c r="AD1" s="48"/>
      <c r="AE1" s="34"/>
      <c r="AF1" s="48"/>
      <c r="AG1" s="48"/>
      <c r="AH1" s="48"/>
      <c r="AI1" s="34"/>
      <c r="AJ1" s="34"/>
    </row>
    <row r="2" spans="2:38" ht="12.75" customHeight="1">
      <c r="B2" s="36"/>
      <c r="C2" s="50">
        <f>C39</f>
        <v>39</v>
      </c>
      <c r="D2" s="50" t="b">
        <f ca="1">OR(OR(WEEKDAY(D3,2)=6,WEEKDAY(D3,2)=7),IFERROR(INDEX(INDIRECT("Shortened[WorkHours]"),MATCH(D3,INDIRECT("Shortened[DateInYear]"),0),0),0)&gt;7,IFERROR(INDEX(INDIRECT("Clamp[WorkHours]"),MATCH(D3,INDIRECT("Clamp[DateInYear]"),0),0),0)&gt;7,IFERROR(MATCH(D3,INDIRECT("Fixed_dates[DateInYear]"),0),0)&gt;0,IFERROR(MATCH(D3,INDIRECT("Fixed_weekdays[DateInYear]"),0),0)&gt;0)</f>
        <v>0</v>
      </c>
      <c r="E2" s="50" t="b">
        <f t="shared" ref="E2:AH2" ca="1" si="0">OR(OR(WEEKDAY(E3,2)=6,WEEKDAY(E3,2)=7),IFERROR(INDEX(INDIRECT("Shortened[WorkHours]"),MATCH(E3,INDIRECT("Shortened[DateInYear]"),0),0),0)&gt;7,IFERROR(INDEX(INDIRECT("Clamp[WorkHours]"),MATCH(E3,INDIRECT("Clamp[DateInYear]"),0),0),0)&gt;7,IFERROR(MATCH(E3,INDIRECT("Fixed_dates[DateInYear]"),0),0)&gt;0,IFERROR(MATCH(E3,INDIRECT("Fixed_weekdays[DateInYear]"),0),0)&gt;0)</f>
        <v>1</v>
      </c>
      <c r="F2" s="50" t="b">
        <f t="shared" ca="1" si="0"/>
        <v>1</v>
      </c>
      <c r="G2" s="50" t="b">
        <f t="shared" ca="1" si="0"/>
        <v>1</v>
      </c>
      <c r="H2" s="50" t="b">
        <f t="shared" ca="1" si="0"/>
        <v>1</v>
      </c>
      <c r="I2" s="50" t="b">
        <f t="shared" ca="1" si="0"/>
        <v>0</v>
      </c>
      <c r="J2" s="50" t="b">
        <f t="shared" ca="1" si="0"/>
        <v>0</v>
      </c>
      <c r="K2" s="50" t="b">
        <f t="shared" ca="1" si="0"/>
        <v>0</v>
      </c>
      <c r="L2" s="50" t="b">
        <f t="shared" ca="1" si="0"/>
        <v>0</v>
      </c>
      <c r="M2" s="50" t="b">
        <f t="shared" ca="1" si="0"/>
        <v>1</v>
      </c>
      <c r="N2" s="50" t="b">
        <f t="shared" ca="1" si="0"/>
        <v>1</v>
      </c>
      <c r="O2" s="50" t="b">
        <f t="shared" ca="1" si="0"/>
        <v>0</v>
      </c>
      <c r="P2" s="50" t="b">
        <f t="shared" ca="1" si="0"/>
        <v>0</v>
      </c>
      <c r="Q2" s="50" t="b">
        <f t="shared" ca="1" si="0"/>
        <v>0</v>
      </c>
      <c r="R2" s="116" t="b">
        <f t="shared" ca="1" si="0"/>
        <v>0</v>
      </c>
      <c r="S2" s="50" t="b">
        <f t="shared" ca="1" si="0"/>
        <v>0</v>
      </c>
      <c r="T2" s="50" t="b">
        <f t="shared" ca="1" si="0"/>
        <v>1</v>
      </c>
      <c r="U2" s="50" t="b">
        <f t="shared" ca="1" si="0"/>
        <v>1</v>
      </c>
      <c r="V2" s="50" t="b">
        <f t="shared" ca="1" si="0"/>
        <v>0</v>
      </c>
      <c r="W2" s="50" t="b">
        <f t="shared" ca="1" si="0"/>
        <v>0</v>
      </c>
      <c r="X2" s="50" t="b">
        <f t="shared" ca="1" si="0"/>
        <v>0</v>
      </c>
      <c r="Y2" s="50" t="b">
        <f t="shared" ca="1" si="0"/>
        <v>0</v>
      </c>
      <c r="Z2" s="50" t="b">
        <f t="shared" ca="1" si="0"/>
        <v>0</v>
      </c>
      <c r="AA2" s="50" t="b">
        <f t="shared" ca="1" si="0"/>
        <v>1</v>
      </c>
      <c r="AB2" s="50" t="b">
        <f t="shared" ca="1" si="0"/>
        <v>1</v>
      </c>
      <c r="AC2" s="50" t="b">
        <f t="shared" ca="1" si="0"/>
        <v>0</v>
      </c>
      <c r="AD2" s="50" t="b">
        <f t="shared" ca="1" si="0"/>
        <v>0</v>
      </c>
      <c r="AE2" s="50" t="b">
        <f t="shared" ca="1" si="0"/>
        <v>0</v>
      </c>
      <c r="AF2" s="50" t="b">
        <f ca="1">OR(OR(WEEKDAY(AF3,2)=6,WEEKDAY(AF3,2)=7),IFERROR(INDEX(INDIRECT("Shortened[WorkHours]"),MATCH(AF3,INDIRECT("Shortened[DateInYear]"),0),0),0)&gt;7,IFERROR(INDEX(INDIRECT("Clamp[WorkHours]"),MATCH(AF3,INDIRECT("Clamp[DateInYear]"),0),0),0)&gt;7,IFERROR(MATCH(AF3,INDIRECT("Fixed_dates[DateInYear]"),0),0)&gt;0,IFERROR(MATCH(AF3,INDIRECT("Fixed_weekdays[DateInYear]"),0),0)&gt;0)</f>
        <v>0</v>
      </c>
      <c r="AG2" s="50" t="b">
        <f t="shared" ca="1" si="0"/>
        <v>0</v>
      </c>
      <c r="AH2" s="50" t="b">
        <f t="shared" ca="1" si="0"/>
        <v>1</v>
      </c>
      <c r="AI2" s="100"/>
      <c r="AJ2" s="117"/>
    </row>
    <row r="3" spans="2:38" ht="17.149999999999999" customHeight="1">
      <c r="B3" s="85" t="s">
        <v>74</v>
      </c>
      <c r="C3" s="86"/>
      <c r="D3" s="87">
        <f>DATEVALUE(AloxÅr&amp;"-"&amp;VLOOKUP(LEFT(B1,3),Holidays!$M$4:$N$15,2,0)&amp;"-1")</f>
        <v>44287</v>
      </c>
      <c r="E3" s="87">
        <f>DATE(YEAR(D3),MONTH(D3),DAY(D3)+1)</f>
        <v>44288</v>
      </c>
      <c r="F3" s="87">
        <f t="shared" ref="F3:AH3" si="1">DATE(YEAR(E3),MONTH(E3),DAY(E3)+1)</f>
        <v>44289</v>
      </c>
      <c r="G3" s="87">
        <f t="shared" si="1"/>
        <v>44290</v>
      </c>
      <c r="H3" s="87">
        <f t="shared" si="1"/>
        <v>44291</v>
      </c>
      <c r="I3" s="87">
        <f t="shared" si="1"/>
        <v>44292</v>
      </c>
      <c r="J3" s="87">
        <f t="shared" si="1"/>
        <v>44293</v>
      </c>
      <c r="K3" s="87">
        <f t="shared" si="1"/>
        <v>44294</v>
      </c>
      <c r="L3" s="87">
        <f t="shared" si="1"/>
        <v>44295</v>
      </c>
      <c r="M3" s="87">
        <f t="shared" si="1"/>
        <v>44296</v>
      </c>
      <c r="N3" s="87">
        <f t="shared" si="1"/>
        <v>44297</v>
      </c>
      <c r="O3" s="87">
        <f t="shared" si="1"/>
        <v>44298</v>
      </c>
      <c r="P3" s="87">
        <f t="shared" si="1"/>
        <v>44299</v>
      </c>
      <c r="Q3" s="87">
        <f t="shared" si="1"/>
        <v>44300</v>
      </c>
      <c r="R3" s="87">
        <f t="shared" si="1"/>
        <v>44301</v>
      </c>
      <c r="S3" s="87">
        <f t="shared" si="1"/>
        <v>44302</v>
      </c>
      <c r="T3" s="87">
        <f t="shared" si="1"/>
        <v>44303</v>
      </c>
      <c r="U3" s="87">
        <f>DATE(YEAR(T3),MONTH(T3),DAY(T3)+1)</f>
        <v>44304</v>
      </c>
      <c r="V3" s="87">
        <f t="shared" si="1"/>
        <v>44305</v>
      </c>
      <c r="W3" s="87">
        <f t="shared" si="1"/>
        <v>44306</v>
      </c>
      <c r="X3" s="87">
        <f t="shared" si="1"/>
        <v>44307</v>
      </c>
      <c r="Y3" s="87">
        <f t="shared" si="1"/>
        <v>44308</v>
      </c>
      <c r="Z3" s="87">
        <f t="shared" si="1"/>
        <v>44309</v>
      </c>
      <c r="AA3" s="87">
        <f t="shared" si="1"/>
        <v>44310</v>
      </c>
      <c r="AB3" s="87">
        <f t="shared" si="1"/>
        <v>44311</v>
      </c>
      <c r="AC3" s="87">
        <f t="shared" si="1"/>
        <v>44312</v>
      </c>
      <c r="AD3" s="87">
        <f t="shared" si="1"/>
        <v>44313</v>
      </c>
      <c r="AE3" s="87">
        <f t="shared" si="1"/>
        <v>44314</v>
      </c>
      <c r="AF3" s="87">
        <f t="shared" si="1"/>
        <v>44315</v>
      </c>
      <c r="AG3" s="87">
        <f t="shared" si="1"/>
        <v>44316</v>
      </c>
      <c r="AH3" s="87">
        <f t="shared" si="1"/>
        <v>44317</v>
      </c>
      <c r="AI3" s="113" t="s">
        <v>3</v>
      </c>
      <c r="AJ3" s="184" t="s">
        <v>97</v>
      </c>
      <c r="AK3" s="183" t="s">
        <v>213</v>
      </c>
    </row>
    <row r="4" spans="2:38" s="64" customFormat="1" ht="17.149999999999999" customHeight="1">
      <c r="B4" s="327" t="str">
        <f>IFERROR(Project.01&amp;" "&amp;WP.01&amp;" "&amp;Contract.01&amp;" "&amp;Type.01&amp;" "&amp;Activity.01," ")</f>
        <v xml:space="preserve">    </v>
      </c>
      <c r="C4" s="327"/>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191"/>
      <c r="AI4" s="89">
        <f>SUM(D4:AG4)</f>
        <v>0</v>
      </c>
      <c r="AJ4" s="185" t="str">
        <f t="shared" ref="AJ4:AJ23" si="2">IFERROR(AI4/$AI$26,"")</f>
        <v/>
      </c>
      <c r="AK4" s="188"/>
      <c r="AL4" s="119"/>
    </row>
    <row r="5" spans="2:38" s="64" customFormat="1" ht="17.149999999999999" customHeight="1">
      <c r="B5" s="327" t="str">
        <f>IFERROR(Project.02&amp;" "&amp;WP.02&amp;" "&amp;Contract.02&amp;" "&amp;Type.02&amp;" "&amp;Activity.02," ")</f>
        <v xml:space="preserve">    </v>
      </c>
      <c r="C5" s="327"/>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191"/>
      <c r="AI5" s="89">
        <f t="shared" ref="AI5:AI24" si="3">SUM(D5:AG5)</f>
        <v>0</v>
      </c>
      <c r="AJ5" s="185" t="str">
        <f t="shared" si="2"/>
        <v/>
      </c>
      <c r="AK5" s="188"/>
      <c r="AL5" s="119"/>
    </row>
    <row r="6" spans="2:38" s="64" customFormat="1" ht="17.149999999999999" customHeight="1">
      <c r="B6" s="327" t="str">
        <f>IFERROR(Project.03&amp;" "&amp;WP.03&amp;" "&amp;Contract.03&amp;" "&amp;Type.03&amp;" "&amp;Activity.03," ")</f>
        <v xml:space="preserve">    </v>
      </c>
      <c r="C6" s="327"/>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191"/>
      <c r="AI6" s="89">
        <f t="shared" si="3"/>
        <v>0</v>
      </c>
      <c r="AJ6" s="185" t="str">
        <f t="shared" si="2"/>
        <v/>
      </c>
      <c r="AK6" s="188"/>
      <c r="AL6" s="119"/>
    </row>
    <row r="7" spans="2:38" s="64" customFormat="1" ht="17.149999999999999" customHeight="1">
      <c r="B7" s="327" t="str">
        <f>IFERROR(Project.04&amp;" "&amp;WP.04&amp;" "&amp;Contract.04&amp;" "&amp;Type.04&amp;" "&amp;Activity.04," ")</f>
        <v xml:space="preserve">    </v>
      </c>
      <c r="C7" s="327"/>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191"/>
      <c r="AI7" s="89">
        <f t="shared" si="3"/>
        <v>0</v>
      </c>
      <c r="AJ7" s="185" t="str">
        <f t="shared" si="2"/>
        <v/>
      </c>
      <c r="AK7" s="188"/>
      <c r="AL7" s="119"/>
    </row>
    <row r="8" spans="2:38" s="64" customFormat="1" ht="17.149999999999999" customHeight="1">
      <c r="B8" s="327" t="str">
        <f>IFERROR(Project.05&amp;" "&amp;WP.05&amp;" "&amp;Contract.05&amp;" "&amp;Type.05&amp;" "&amp;Activity.05," ")</f>
        <v xml:space="preserve">    </v>
      </c>
      <c r="C8" s="327"/>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191"/>
      <c r="AI8" s="89">
        <f t="shared" si="3"/>
        <v>0</v>
      </c>
      <c r="AJ8" s="185" t="str">
        <f t="shared" si="2"/>
        <v/>
      </c>
      <c r="AK8" s="188"/>
      <c r="AL8" s="119"/>
    </row>
    <row r="9" spans="2:38" s="64" customFormat="1" ht="17.149999999999999" customHeight="1">
      <c r="B9" s="327" t="str">
        <f>IFERROR(Project.06&amp;" "&amp;WP.06&amp;" "&amp;Contract.06&amp;" "&amp;Type.06&amp;" "&amp;Activity.06," ")</f>
        <v xml:space="preserve">    </v>
      </c>
      <c r="C9" s="327"/>
      <c r="D9" s="88"/>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191"/>
      <c r="AI9" s="89">
        <f t="shared" si="3"/>
        <v>0</v>
      </c>
      <c r="AJ9" s="185" t="str">
        <f t="shared" si="2"/>
        <v/>
      </c>
      <c r="AK9" s="188"/>
      <c r="AL9" s="119"/>
    </row>
    <row r="10" spans="2:38" s="64" customFormat="1" ht="17.149999999999999" customHeight="1">
      <c r="B10" s="327" t="str">
        <f>IFERROR(Project.07&amp;" "&amp;WP.07&amp;" "&amp;Contract.07&amp;" "&amp;Type.07&amp;" "&amp;Activity.07," ")</f>
        <v xml:space="preserve">    </v>
      </c>
      <c r="C10" s="327"/>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191"/>
      <c r="AI10" s="89">
        <f t="shared" si="3"/>
        <v>0</v>
      </c>
      <c r="AJ10" s="185" t="str">
        <f t="shared" si="2"/>
        <v/>
      </c>
      <c r="AK10" s="188"/>
      <c r="AL10" s="119"/>
    </row>
    <row r="11" spans="2:38" s="64" customFormat="1" ht="17.149999999999999" customHeight="1">
      <c r="B11" s="327" t="str">
        <f>IFERROR(Project.08&amp;" "&amp;WP.08&amp;" "&amp;Contract.08&amp;" "&amp;Type.08&amp;" "&amp;Activity.08," ")</f>
        <v xml:space="preserve">    </v>
      </c>
      <c r="C11" s="327"/>
      <c r="D11" s="88"/>
      <c r="E11" s="88"/>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191"/>
      <c r="AI11" s="89">
        <f t="shared" si="3"/>
        <v>0</v>
      </c>
      <c r="AJ11" s="185" t="str">
        <f t="shared" si="2"/>
        <v/>
      </c>
      <c r="AK11" s="188"/>
      <c r="AL11" s="119"/>
    </row>
    <row r="12" spans="2:38" s="64" customFormat="1" ht="17.149999999999999" customHeight="1">
      <c r="B12" s="327" t="str">
        <f>(Project.09&amp;" "&amp;WP.09&amp;" "&amp;Contract.09&amp;" "&amp;Type.09&amp;" "&amp;Activity.09)</f>
        <v xml:space="preserve">    </v>
      </c>
      <c r="C12" s="327"/>
      <c r="D12" s="88"/>
      <c r="E12" s="88"/>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191"/>
      <c r="AI12" s="89">
        <f t="shared" si="3"/>
        <v>0</v>
      </c>
      <c r="AJ12" s="185" t="str">
        <f t="shared" si="2"/>
        <v/>
      </c>
      <c r="AK12" s="188"/>
      <c r="AL12" s="119"/>
    </row>
    <row r="13" spans="2:38" s="64" customFormat="1" ht="17.149999999999999" customHeight="1">
      <c r="B13" s="327" t="str">
        <f>IFERROR(Project.10&amp;" "&amp;WP.10&amp;" "&amp;Contract.10&amp;" "&amp;Type.10&amp;" "&amp;Activity.10," ")</f>
        <v xml:space="preserve">    </v>
      </c>
      <c r="C13" s="327"/>
      <c r="D13" s="88"/>
      <c r="E13" s="88"/>
      <c r="F13" s="88"/>
      <c r="G13" s="88"/>
      <c r="H13" s="88"/>
      <c r="I13" s="88"/>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191"/>
      <c r="AI13" s="89">
        <f t="shared" si="3"/>
        <v>0</v>
      </c>
      <c r="AJ13" s="185" t="str">
        <f t="shared" si="2"/>
        <v/>
      </c>
      <c r="AK13" s="188"/>
      <c r="AL13" s="119"/>
    </row>
    <row r="14" spans="2:38" s="64" customFormat="1" ht="17.149999999999999" customHeight="1">
      <c r="B14" s="327" t="str">
        <f>IFERROR(Project.11&amp;" "&amp;WP.11&amp;" "&amp;Contract.11&amp;" "&amp;Type.11&amp;" "&amp;Activity.11," ")</f>
        <v xml:space="preserve">    </v>
      </c>
      <c r="C14" s="327"/>
      <c r="D14" s="88"/>
      <c r="E14" s="88"/>
      <c r="F14" s="88"/>
      <c r="G14" s="88"/>
      <c r="H14" s="88"/>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191"/>
      <c r="AI14" s="89">
        <f t="shared" si="3"/>
        <v>0</v>
      </c>
      <c r="AJ14" s="185" t="str">
        <f t="shared" si="2"/>
        <v/>
      </c>
      <c r="AK14" s="188"/>
      <c r="AL14" s="119"/>
    </row>
    <row r="15" spans="2:38" s="64" customFormat="1" ht="17.149999999999999" customHeight="1">
      <c r="B15" s="327" t="str">
        <f>IFERROR(Project.12&amp;" "&amp;WP.12&amp;" "&amp;Contract.12&amp;" "&amp;Type.12&amp;" "&amp;Activity.12," ")</f>
        <v xml:space="preserve">    </v>
      </c>
      <c r="C15" s="327"/>
      <c r="D15" s="88"/>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191"/>
      <c r="AI15" s="89">
        <f t="shared" si="3"/>
        <v>0</v>
      </c>
      <c r="AJ15" s="185" t="str">
        <f t="shared" si="2"/>
        <v/>
      </c>
      <c r="AK15" s="188"/>
      <c r="AL15" s="119"/>
    </row>
    <row r="16" spans="2:38" s="64" customFormat="1" ht="17.149999999999999" customHeight="1">
      <c r="B16" s="327" t="str">
        <f>IFERROR(Project.13&amp;" "&amp;WP.13&amp;" "&amp;Contract.13&amp;" "&amp;Type.13&amp;" "&amp;Activity.13," ")</f>
        <v xml:space="preserve">    </v>
      </c>
      <c r="C16" s="327"/>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191"/>
      <c r="AI16" s="89">
        <f t="shared" si="3"/>
        <v>0</v>
      </c>
      <c r="AJ16" s="185" t="str">
        <f t="shared" si="2"/>
        <v/>
      </c>
      <c r="AK16" s="188"/>
      <c r="AL16" s="119"/>
    </row>
    <row r="17" spans="2:41" s="64" customFormat="1" ht="17.149999999999999" customHeight="1">
      <c r="B17" s="327" t="str">
        <f>IFERROR(Project.14&amp;" "&amp;WP.14&amp;" "&amp;Contract.14&amp;" "&amp;Type.14&amp;" "&amp;Activity.14," ")</f>
        <v xml:space="preserve">    </v>
      </c>
      <c r="C17" s="327"/>
      <c r="D17" s="88"/>
      <c r="E17" s="88"/>
      <c r="F17" s="88"/>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191"/>
      <c r="AI17" s="89">
        <f t="shared" si="3"/>
        <v>0</v>
      </c>
      <c r="AJ17" s="185" t="str">
        <f t="shared" si="2"/>
        <v/>
      </c>
      <c r="AK17" s="188"/>
      <c r="AL17" s="119"/>
    </row>
    <row r="18" spans="2:41" s="64" customFormat="1" ht="17.149999999999999" customHeight="1">
      <c r="B18" s="327" t="str">
        <f>IFERROR(Project.15&amp;" "&amp;WP.15&amp;" "&amp;Contract.15&amp;" "&amp;Type.15&amp;" "&amp;Activity.15," ")</f>
        <v xml:space="preserve">    </v>
      </c>
      <c r="C18" s="327"/>
      <c r="D18" s="88"/>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191"/>
      <c r="AI18" s="89">
        <f t="shared" si="3"/>
        <v>0</v>
      </c>
      <c r="AJ18" s="185" t="str">
        <f t="shared" si="2"/>
        <v/>
      </c>
      <c r="AK18" s="188"/>
      <c r="AL18" s="119"/>
    </row>
    <row r="19" spans="2:41" s="64" customFormat="1" ht="17.149999999999999" customHeight="1">
      <c r="B19" s="327" t="str">
        <f>IFERROR(Project.16&amp;" "&amp;WP.16&amp;" "&amp;Contract.16&amp;" "&amp;Type.16&amp;" "&amp;Activity.16," ")</f>
        <v xml:space="preserve">    </v>
      </c>
      <c r="C19" s="327"/>
      <c r="D19" s="88"/>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191"/>
      <c r="AI19" s="89">
        <f t="shared" si="3"/>
        <v>0</v>
      </c>
      <c r="AJ19" s="185" t="str">
        <f t="shared" si="2"/>
        <v/>
      </c>
      <c r="AK19" s="188"/>
      <c r="AL19" s="119"/>
    </row>
    <row r="20" spans="2:41" s="64" customFormat="1" ht="17.149999999999999" customHeight="1">
      <c r="B20" s="327" t="str">
        <f>IFERROR(Project.17&amp;" "&amp;WP.17&amp;" "&amp;Contract.17&amp;" "&amp;Type.17&amp;" "&amp;Activity.17," ")</f>
        <v xml:space="preserve">    </v>
      </c>
      <c r="C20" s="327"/>
      <c r="D20" s="88"/>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191"/>
      <c r="AI20" s="89">
        <f t="shared" si="3"/>
        <v>0</v>
      </c>
      <c r="AJ20" s="185" t="str">
        <f t="shared" si="2"/>
        <v/>
      </c>
      <c r="AK20" s="188"/>
      <c r="AL20" s="119"/>
    </row>
    <row r="21" spans="2:41" s="64" customFormat="1" ht="17.149999999999999" customHeight="1">
      <c r="B21" s="327" t="str">
        <f>IFERROR(Project.18&amp;" "&amp;WP.18&amp;" "&amp;Contract.18&amp;" "&amp;Type.18&amp;" "&amp;Activity.18," ")</f>
        <v xml:space="preserve">    </v>
      </c>
      <c r="C21" s="327"/>
      <c r="D21" s="88"/>
      <c r="E21" s="88"/>
      <c r="F21" s="88"/>
      <c r="G21" s="88"/>
      <c r="H21" s="88"/>
      <c r="I21" s="88"/>
      <c r="J21" s="88"/>
      <c r="K21" s="88"/>
      <c r="L21" s="88"/>
      <c r="M21" s="88"/>
      <c r="N21" s="88"/>
      <c r="O21" s="88"/>
      <c r="P21" s="88"/>
      <c r="Q21" s="88"/>
      <c r="R21" s="88"/>
      <c r="S21" s="88"/>
      <c r="T21" s="88"/>
      <c r="U21" s="88"/>
      <c r="V21" s="88"/>
      <c r="W21" s="88"/>
      <c r="X21" s="88"/>
      <c r="Y21" s="88"/>
      <c r="Z21" s="88"/>
      <c r="AA21" s="88"/>
      <c r="AB21" s="88"/>
      <c r="AC21" s="88"/>
      <c r="AD21" s="88"/>
      <c r="AE21" s="88"/>
      <c r="AF21" s="88"/>
      <c r="AG21" s="88"/>
      <c r="AH21" s="191"/>
      <c r="AI21" s="89">
        <f t="shared" si="3"/>
        <v>0</v>
      </c>
      <c r="AJ21" s="185" t="str">
        <f t="shared" si="2"/>
        <v/>
      </c>
      <c r="AK21" s="188"/>
      <c r="AL21" s="119"/>
    </row>
    <row r="22" spans="2:41" s="64" customFormat="1" ht="17.149999999999999" customHeight="1">
      <c r="B22" s="327" t="str">
        <f>IFERROR(Project.19&amp;" "&amp;WP.19&amp;" "&amp;Contract.19&amp;" "&amp;Type.19&amp;" "&amp;Activity.19," ")</f>
        <v xml:space="preserve">    </v>
      </c>
      <c r="C22" s="327"/>
      <c r="D22" s="88"/>
      <c r="E22" s="88"/>
      <c r="F22" s="88"/>
      <c r="G22" s="88"/>
      <c r="H22" s="88"/>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191"/>
      <c r="AI22" s="89">
        <f t="shared" si="3"/>
        <v>0</v>
      </c>
      <c r="AJ22" s="185" t="str">
        <f t="shared" si="2"/>
        <v/>
      </c>
      <c r="AK22" s="188"/>
      <c r="AL22" s="119"/>
    </row>
    <row r="23" spans="2:41" s="64" customFormat="1" ht="17.149999999999999" customHeight="1">
      <c r="B23" s="328" t="str">
        <f>IFERROR(Project.20&amp;" "&amp;WP.20&amp;" "&amp;Contract.20&amp;" "&amp;Type.20&amp;" "&amp;Activity.20," ")</f>
        <v xml:space="preserve">OTHER HOURS WORKED    </v>
      </c>
      <c r="C23" s="328"/>
      <c r="D23" s="88"/>
      <c r="E23" s="88"/>
      <c r="F23" s="88"/>
      <c r="G23" s="88"/>
      <c r="H23" s="88"/>
      <c r="I23" s="88"/>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191"/>
      <c r="AI23" s="89">
        <f t="shared" si="3"/>
        <v>0</v>
      </c>
      <c r="AJ23" s="185" t="str">
        <f t="shared" si="2"/>
        <v/>
      </c>
      <c r="AK23" s="188"/>
      <c r="AL23" s="119"/>
    </row>
    <row r="24" spans="2:41" s="64" customFormat="1" ht="17.149999999999999" customHeight="1">
      <c r="B24" s="207" t="s">
        <v>239</v>
      </c>
      <c r="C24" s="81"/>
      <c r="D24" s="208"/>
      <c r="E24" s="208"/>
      <c r="F24" s="208"/>
      <c r="G24" s="208"/>
      <c r="H24" s="208"/>
      <c r="I24" s="208"/>
      <c r="J24" s="208"/>
      <c r="K24" s="208"/>
      <c r="L24" s="208"/>
      <c r="M24" s="208"/>
      <c r="N24" s="208"/>
      <c r="O24" s="208"/>
      <c r="P24" s="208"/>
      <c r="Q24" s="208"/>
      <c r="R24" s="208"/>
      <c r="S24" s="208"/>
      <c r="T24" s="208"/>
      <c r="U24" s="208"/>
      <c r="V24" s="208"/>
      <c r="W24" s="208"/>
      <c r="X24" s="208"/>
      <c r="Y24" s="208"/>
      <c r="Z24" s="208"/>
      <c r="AA24" s="208"/>
      <c r="AB24" s="208"/>
      <c r="AC24" s="208"/>
      <c r="AD24" s="208"/>
      <c r="AE24" s="208"/>
      <c r="AF24" s="208"/>
      <c r="AG24" s="208"/>
      <c r="AH24" s="90"/>
      <c r="AI24" s="148">
        <f t="shared" si="3"/>
        <v>0</v>
      </c>
      <c r="AJ24" s="149" t="str">
        <f>IFERROR(AI24/$AI$28,"")</f>
        <v/>
      </c>
      <c r="AK24" s="188"/>
      <c r="AL24" s="119"/>
    </row>
    <row r="25" spans="2:41" s="65" customFormat="1" ht="17.149999999999999" customHeight="1">
      <c r="B25" s="83" t="s">
        <v>56</v>
      </c>
      <c r="C25" s="84"/>
      <c r="D25" s="91">
        <f>D26</f>
        <v>0</v>
      </c>
      <c r="E25" s="91">
        <f t="shared" ref="E25:AG25" si="4">E26</f>
        <v>0</v>
      </c>
      <c r="F25" s="91">
        <f t="shared" si="4"/>
        <v>0</v>
      </c>
      <c r="G25" s="91">
        <f t="shared" si="4"/>
        <v>0</v>
      </c>
      <c r="H25" s="91">
        <f t="shared" si="4"/>
        <v>0</v>
      </c>
      <c r="I25" s="91">
        <f t="shared" si="4"/>
        <v>0</v>
      </c>
      <c r="J25" s="91">
        <f t="shared" si="4"/>
        <v>0</v>
      </c>
      <c r="K25" s="91">
        <f t="shared" si="4"/>
        <v>0</v>
      </c>
      <c r="L25" s="91">
        <f t="shared" si="4"/>
        <v>0</v>
      </c>
      <c r="M25" s="91">
        <f t="shared" si="4"/>
        <v>0</v>
      </c>
      <c r="N25" s="91">
        <f t="shared" si="4"/>
        <v>0</v>
      </c>
      <c r="O25" s="91">
        <f t="shared" si="4"/>
        <v>0</v>
      </c>
      <c r="P25" s="91">
        <f t="shared" si="4"/>
        <v>0</v>
      </c>
      <c r="Q25" s="91">
        <f t="shared" si="4"/>
        <v>0</v>
      </c>
      <c r="R25" s="91">
        <f t="shared" si="4"/>
        <v>0</v>
      </c>
      <c r="S25" s="91">
        <f t="shared" si="4"/>
        <v>0</v>
      </c>
      <c r="T25" s="91">
        <f t="shared" si="4"/>
        <v>0</v>
      </c>
      <c r="U25" s="91">
        <f t="shared" si="4"/>
        <v>0</v>
      </c>
      <c r="V25" s="91">
        <f t="shared" si="4"/>
        <v>0</v>
      </c>
      <c r="W25" s="91">
        <f t="shared" si="4"/>
        <v>0</v>
      </c>
      <c r="X25" s="91">
        <f t="shared" si="4"/>
        <v>0</v>
      </c>
      <c r="Y25" s="91">
        <f t="shared" si="4"/>
        <v>0</v>
      </c>
      <c r="Z25" s="91">
        <f t="shared" si="4"/>
        <v>0</v>
      </c>
      <c r="AA25" s="91">
        <f t="shared" si="4"/>
        <v>0</v>
      </c>
      <c r="AB25" s="91">
        <f t="shared" si="4"/>
        <v>0</v>
      </c>
      <c r="AC25" s="91">
        <f t="shared" si="4"/>
        <v>0</v>
      </c>
      <c r="AD25" s="91">
        <f t="shared" si="4"/>
        <v>0</v>
      </c>
      <c r="AE25" s="91">
        <f t="shared" si="4"/>
        <v>0</v>
      </c>
      <c r="AF25" s="91">
        <f t="shared" si="4"/>
        <v>0</v>
      </c>
      <c r="AG25" s="91">
        <f t="shared" si="4"/>
        <v>0</v>
      </c>
      <c r="AH25" s="91"/>
      <c r="AI25" s="92"/>
      <c r="AJ25" s="82"/>
      <c r="AL25" s="120"/>
    </row>
    <row r="26" spans="2:41" s="64" customFormat="1" ht="17.149999999999999" customHeight="1">
      <c r="B26" s="318" t="s">
        <v>4</v>
      </c>
      <c r="C26" s="319"/>
      <c r="D26" s="93">
        <f t="shared" ref="D26:AH26" si="5">SUM(D4:D23)</f>
        <v>0</v>
      </c>
      <c r="E26" s="93">
        <f t="shared" si="5"/>
        <v>0</v>
      </c>
      <c r="F26" s="93">
        <f t="shared" si="5"/>
        <v>0</v>
      </c>
      <c r="G26" s="93">
        <f t="shared" si="5"/>
        <v>0</v>
      </c>
      <c r="H26" s="93">
        <f t="shared" si="5"/>
        <v>0</v>
      </c>
      <c r="I26" s="93">
        <f t="shared" si="5"/>
        <v>0</v>
      </c>
      <c r="J26" s="93">
        <f t="shared" si="5"/>
        <v>0</v>
      </c>
      <c r="K26" s="93">
        <f t="shared" si="5"/>
        <v>0</v>
      </c>
      <c r="L26" s="93">
        <f t="shared" si="5"/>
        <v>0</v>
      </c>
      <c r="M26" s="93">
        <f t="shared" si="5"/>
        <v>0</v>
      </c>
      <c r="N26" s="93">
        <f t="shared" si="5"/>
        <v>0</v>
      </c>
      <c r="O26" s="93">
        <f t="shared" si="5"/>
        <v>0</v>
      </c>
      <c r="P26" s="93">
        <f t="shared" si="5"/>
        <v>0</v>
      </c>
      <c r="Q26" s="93">
        <f t="shared" si="5"/>
        <v>0</v>
      </c>
      <c r="R26" s="93">
        <f t="shared" si="5"/>
        <v>0</v>
      </c>
      <c r="S26" s="93">
        <f t="shared" si="5"/>
        <v>0</v>
      </c>
      <c r="T26" s="93">
        <f t="shared" si="5"/>
        <v>0</v>
      </c>
      <c r="U26" s="93">
        <f t="shared" si="5"/>
        <v>0</v>
      </c>
      <c r="V26" s="93">
        <f t="shared" si="5"/>
        <v>0</v>
      </c>
      <c r="W26" s="93">
        <f t="shared" si="5"/>
        <v>0</v>
      </c>
      <c r="X26" s="93">
        <f t="shared" si="5"/>
        <v>0</v>
      </c>
      <c r="Y26" s="93">
        <f t="shared" si="5"/>
        <v>0</v>
      </c>
      <c r="Z26" s="93">
        <f t="shared" si="5"/>
        <v>0</v>
      </c>
      <c r="AA26" s="93">
        <f t="shared" si="5"/>
        <v>0</v>
      </c>
      <c r="AB26" s="93">
        <f t="shared" si="5"/>
        <v>0</v>
      </c>
      <c r="AC26" s="93">
        <f t="shared" si="5"/>
        <v>0</v>
      </c>
      <c r="AD26" s="93">
        <f t="shared" si="5"/>
        <v>0</v>
      </c>
      <c r="AE26" s="93">
        <f t="shared" si="5"/>
        <v>0</v>
      </c>
      <c r="AF26" s="93">
        <f t="shared" si="5"/>
        <v>0</v>
      </c>
      <c r="AG26" s="93">
        <f t="shared" si="5"/>
        <v>0</v>
      </c>
      <c r="AH26" s="93">
        <f t="shared" si="5"/>
        <v>0</v>
      </c>
      <c r="AI26" s="94">
        <f>SUM(D26:AG26)</f>
        <v>0</v>
      </c>
      <c r="AJ26" s="82"/>
      <c r="AK26" s="12"/>
      <c r="AL26" s="12"/>
      <c r="AM26" s="12"/>
      <c r="AN26" s="12"/>
      <c r="AO26" s="12"/>
    </row>
    <row r="27" spans="2:41" s="65" customFormat="1" ht="17.149999999999999" customHeight="1">
      <c r="B27" s="83" t="s">
        <v>56</v>
      </c>
      <c r="C27" s="84"/>
      <c r="D27" s="91"/>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2"/>
      <c r="AJ27" s="84"/>
      <c r="AK27" s="12"/>
      <c r="AL27" s="12"/>
      <c r="AM27" s="12"/>
      <c r="AN27" s="12"/>
      <c r="AO27" s="12"/>
    </row>
    <row r="28" spans="2:41" s="64" customFormat="1" ht="17.149999999999999" customHeight="1">
      <c r="B28" s="318" t="s">
        <v>5</v>
      </c>
      <c r="C28" s="319"/>
      <c r="D28" s="93">
        <f>SUM(D4:D24)</f>
        <v>0</v>
      </c>
      <c r="E28" s="93">
        <f t="shared" ref="E28:AG28" si="6">SUM(E4:E24)</f>
        <v>0</v>
      </c>
      <c r="F28" s="93">
        <f t="shared" si="6"/>
        <v>0</v>
      </c>
      <c r="G28" s="93">
        <f t="shared" si="6"/>
        <v>0</v>
      </c>
      <c r="H28" s="93">
        <f t="shared" si="6"/>
        <v>0</v>
      </c>
      <c r="I28" s="93">
        <f t="shared" si="6"/>
        <v>0</v>
      </c>
      <c r="J28" s="93">
        <f t="shared" si="6"/>
        <v>0</v>
      </c>
      <c r="K28" s="93">
        <f t="shared" si="6"/>
        <v>0</v>
      </c>
      <c r="L28" s="93">
        <f t="shared" si="6"/>
        <v>0</v>
      </c>
      <c r="M28" s="93">
        <f t="shared" si="6"/>
        <v>0</v>
      </c>
      <c r="N28" s="93">
        <f t="shared" si="6"/>
        <v>0</v>
      </c>
      <c r="O28" s="93">
        <f t="shared" si="6"/>
        <v>0</v>
      </c>
      <c r="P28" s="93">
        <f t="shared" si="6"/>
        <v>0</v>
      </c>
      <c r="Q28" s="93">
        <f t="shared" si="6"/>
        <v>0</v>
      </c>
      <c r="R28" s="93">
        <f t="shared" si="6"/>
        <v>0</v>
      </c>
      <c r="S28" s="93">
        <f t="shared" si="6"/>
        <v>0</v>
      </c>
      <c r="T28" s="93">
        <f t="shared" si="6"/>
        <v>0</v>
      </c>
      <c r="U28" s="93">
        <f t="shared" si="6"/>
        <v>0</v>
      </c>
      <c r="V28" s="93">
        <f t="shared" si="6"/>
        <v>0</v>
      </c>
      <c r="W28" s="93">
        <f t="shared" si="6"/>
        <v>0</v>
      </c>
      <c r="X28" s="93">
        <f t="shared" si="6"/>
        <v>0</v>
      </c>
      <c r="Y28" s="93">
        <f t="shared" si="6"/>
        <v>0</v>
      </c>
      <c r="Z28" s="93">
        <f t="shared" si="6"/>
        <v>0</v>
      </c>
      <c r="AA28" s="93">
        <f t="shared" si="6"/>
        <v>0</v>
      </c>
      <c r="AB28" s="93">
        <f t="shared" si="6"/>
        <v>0</v>
      </c>
      <c r="AC28" s="93">
        <f t="shared" si="6"/>
        <v>0</v>
      </c>
      <c r="AD28" s="93">
        <f t="shared" si="6"/>
        <v>0</v>
      </c>
      <c r="AE28" s="93">
        <f t="shared" si="6"/>
        <v>0</v>
      </c>
      <c r="AF28" s="93">
        <f t="shared" si="6"/>
        <v>0</v>
      </c>
      <c r="AG28" s="93">
        <f t="shared" si="6"/>
        <v>0</v>
      </c>
      <c r="AH28" s="93"/>
      <c r="AI28" s="94">
        <f>SUM(D28:AG28)</f>
        <v>0</v>
      </c>
      <c r="AJ28" s="82"/>
      <c r="AK28" s="12"/>
      <c r="AL28" s="12"/>
      <c r="AM28" s="12"/>
      <c r="AN28" s="12"/>
      <c r="AO28" s="12"/>
    </row>
    <row r="29" spans="2:41" ht="17.25" customHeight="1">
      <c r="B29" s="53" t="s">
        <v>56</v>
      </c>
      <c r="C29" s="54"/>
      <c r="D29" s="47"/>
      <c r="E29" s="47"/>
      <c r="F29" s="47"/>
      <c r="G29" s="47"/>
      <c r="H29" s="47"/>
      <c r="I29" s="47"/>
      <c r="J29" s="47"/>
      <c r="K29" s="47"/>
      <c r="L29" s="47"/>
      <c r="M29" s="47"/>
      <c r="N29" s="47"/>
      <c r="O29" s="47"/>
      <c r="P29" s="47"/>
      <c r="Q29" s="47"/>
      <c r="R29" s="47"/>
      <c r="S29" s="47"/>
      <c r="T29" s="47"/>
      <c r="U29" s="47"/>
      <c r="V29" s="55"/>
      <c r="W29" s="55"/>
      <c r="X29" s="55"/>
      <c r="Y29" s="55"/>
      <c r="Z29" s="55"/>
      <c r="AA29" s="55"/>
      <c r="AB29" s="55"/>
      <c r="AC29" s="55"/>
      <c r="AD29" s="55"/>
      <c r="AE29" s="55"/>
      <c r="AF29" s="55"/>
      <c r="AG29" s="55"/>
      <c r="AH29" s="55"/>
      <c r="AI29" s="56"/>
      <c r="AJ29" s="11"/>
    </row>
    <row r="30" spans="2:41" ht="17.25" customHeight="1">
      <c r="B30" s="101" t="s">
        <v>8</v>
      </c>
      <c r="C30" s="102"/>
      <c r="D30" s="102"/>
      <c r="E30" s="102"/>
      <c r="F30" s="102"/>
      <c r="G30" s="103" t="s">
        <v>9</v>
      </c>
      <c r="H30" s="102"/>
      <c r="I30" s="11"/>
      <c r="J30" s="57"/>
      <c r="K30" s="11"/>
      <c r="L30" s="75"/>
      <c r="M30" s="11"/>
      <c r="N30" s="11"/>
      <c r="O30" s="11"/>
      <c r="P30" s="11"/>
      <c r="Q30" s="331" t="str">
        <f>'Start page'!D30</f>
        <v>• Missing information – Enter Project Acronym/name</v>
      </c>
      <c r="R30" s="331"/>
      <c r="S30" s="331"/>
      <c r="T30" s="331"/>
      <c r="U30" s="331"/>
      <c r="V30" s="331"/>
      <c r="W30" s="331"/>
      <c r="X30" s="331"/>
      <c r="Y30" s="331"/>
      <c r="Z30" s="331"/>
      <c r="AA30" s="331"/>
      <c r="AB30" s="331"/>
      <c r="AC30" s="331"/>
      <c r="AD30" s="331"/>
      <c r="AE30" s="331"/>
      <c r="AF30" s="331"/>
      <c r="AG30" s="331"/>
      <c r="AH30" s="331"/>
      <c r="AI30" s="331"/>
      <c r="AJ30" s="58"/>
    </row>
    <row r="31" spans="2:41" ht="15.5">
      <c r="B31" s="104" t="s">
        <v>56</v>
      </c>
      <c r="C31" s="95"/>
      <c r="D31" s="95"/>
      <c r="E31" s="95"/>
      <c r="F31" s="102"/>
      <c r="G31" s="95"/>
      <c r="H31" s="95"/>
      <c r="I31" s="11"/>
      <c r="J31" s="47"/>
      <c r="K31" s="47"/>
      <c r="L31" s="76"/>
      <c r="M31" s="47"/>
      <c r="N31" s="47"/>
      <c r="O31" s="47"/>
      <c r="P31" s="47"/>
      <c r="Q31" s="331"/>
      <c r="R31" s="331"/>
      <c r="S31" s="331"/>
      <c r="T31" s="331"/>
      <c r="U31" s="331"/>
      <c r="V31" s="331"/>
      <c r="W31" s="331"/>
      <c r="X31" s="331"/>
      <c r="Y31" s="331"/>
      <c r="Z31" s="331"/>
      <c r="AA31" s="331"/>
      <c r="AB31" s="331"/>
      <c r="AC31" s="331"/>
      <c r="AD31" s="331"/>
      <c r="AE31" s="331"/>
      <c r="AF31" s="331"/>
      <c r="AG31" s="331"/>
      <c r="AH31" s="331"/>
      <c r="AI31" s="331"/>
      <c r="AJ31" s="325" t="s">
        <v>230</v>
      </c>
      <c r="AK31" s="326"/>
    </row>
    <row r="32" spans="2:41" ht="15.5">
      <c r="B32" s="105" t="s">
        <v>56</v>
      </c>
      <c r="C32" s="106"/>
      <c r="D32" s="106"/>
      <c r="E32" s="95"/>
      <c r="F32" s="102"/>
      <c r="G32" s="106"/>
      <c r="H32" s="107"/>
      <c r="I32" s="61"/>
      <c r="J32" s="61"/>
      <c r="K32" s="61"/>
      <c r="L32" s="61"/>
      <c r="M32" s="61"/>
      <c r="N32" s="61"/>
      <c r="O32" s="47"/>
      <c r="P32" s="47"/>
      <c r="Q32" s="65"/>
      <c r="R32" s="65"/>
      <c r="S32" s="47"/>
      <c r="T32" s="47"/>
      <c r="U32" s="47"/>
      <c r="V32" s="47"/>
      <c r="W32" s="47"/>
      <c r="X32" s="316"/>
      <c r="Y32" s="316"/>
      <c r="Z32" s="316"/>
      <c r="AA32" s="316"/>
      <c r="AB32" s="317"/>
      <c r="AC32" s="317"/>
      <c r="AD32" s="58"/>
      <c r="AE32" s="316"/>
      <c r="AF32" s="316"/>
      <c r="AG32" s="316"/>
      <c r="AH32" s="316"/>
      <c r="AI32" s="77"/>
      <c r="AJ32" s="195">
        <v>1</v>
      </c>
      <c r="AK32" s="196" t="s">
        <v>234</v>
      </c>
    </row>
    <row r="33" spans="2:37" ht="15.5">
      <c r="B33" s="108">
        <f>Member</f>
        <v>0</v>
      </c>
      <c r="C33" s="95"/>
      <c r="D33" s="95"/>
      <c r="E33" s="95"/>
      <c r="F33" s="102"/>
      <c r="G33" s="95">
        <f>Supervisor</f>
        <v>0</v>
      </c>
      <c r="H33" s="102"/>
      <c r="I33" s="11"/>
      <c r="J33" s="47"/>
      <c r="K33" s="47"/>
      <c r="L33" s="47"/>
      <c r="M33" s="47"/>
      <c r="N33" s="47"/>
      <c r="O33" s="47"/>
      <c r="P33" s="47"/>
      <c r="Q33" s="331" t="str">
        <f>'Start page'!D6</f>
        <v>• Missing information – Fill in all names and title/function on the Start Page</v>
      </c>
      <c r="R33" s="331"/>
      <c r="S33" s="331"/>
      <c r="T33" s="331"/>
      <c r="U33" s="331"/>
      <c r="V33" s="331"/>
      <c r="W33" s="331"/>
      <c r="X33" s="331"/>
      <c r="Y33" s="331"/>
      <c r="Z33" s="331"/>
      <c r="AA33" s="331"/>
      <c r="AB33" s="331"/>
      <c r="AC33" s="331"/>
      <c r="AD33" s="331"/>
      <c r="AE33" s="331"/>
      <c r="AF33" s="331"/>
      <c r="AG33" s="331"/>
      <c r="AH33" s="331"/>
      <c r="AI33" s="331"/>
      <c r="AJ33" s="197">
        <v>2</v>
      </c>
      <c r="AK33" s="198" t="s">
        <v>231</v>
      </c>
    </row>
    <row r="34" spans="2:37" ht="18.75" customHeight="1">
      <c r="B34" s="109">
        <f>Title.member</f>
        <v>0</v>
      </c>
      <c r="C34" s="102"/>
      <c r="D34" s="95"/>
      <c r="E34" s="102"/>
      <c r="F34" s="102"/>
      <c r="G34" s="102">
        <f>Title.supervisor</f>
        <v>0</v>
      </c>
      <c r="H34" s="95"/>
      <c r="I34" s="11"/>
      <c r="J34" s="60"/>
      <c r="K34" s="11"/>
      <c r="L34" s="11"/>
      <c r="M34" s="11"/>
      <c r="N34" s="11"/>
      <c r="O34" s="47"/>
      <c r="P34" s="47"/>
      <c r="Q34" s="65"/>
      <c r="R34" s="65"/>
      <c r="S34" s="47"/>
      <c r="T34" s="47"/>
      <c r="U34" s="47"/>
      <c r="V34" s="47"/>
      <c r="W34" s="47"/>
      <c r="X34" s="179"/>
      <c r="Y34" s="179"/>
      <c r="Z34" s="179"/>
      <c r="AA34" s="179"/>
      <c r="AB34" s="180"/>
      <c r="AC34" s="180"/>
      <c r="AD34" s="58"/>
      <c r="AE34" s="181"/>
      <c r="AF34" s="181"/>
      <c r="AG34" s="181"/>
      <c r="AH34" s="181"/>
      <c r="AI34" s="59"/>
      <c r="AJ34" s="62"/>
    </row>
    <row r="35" spans="2:37" ht="18.75" customHeight="1">
      <c r="B35" s="109" t="s">
        <v>72</v>
      </c>
      <c r="C35" s="102"/>
      <c r="D35" s="95"/>
      <c r="E35" s="102"/>
      <c r="F35" s="102"/>
      <c r="G35" s="102" t="s">
        <v>73</v>
      </c>
      <c r="H35" s="95"/>
      <c r="I35" s="11"/>
      <c r="J35" s="60"/>
      <c r="K35" s="11"/>
      <c r="L35" s="11"/>
      <c r="M35" s="11"/>
      <c r="N35" s="11"/>
      <c r="O35" s="47"/>
      <c r="P35" s="47"/>
      <c r="Q35" s="65"/>
      <c r="R35" s="65"/>
      <c r="S35" s="47"/>
      <c r="T35" s="47"/>
      <c r="U35" s="47"/>
      <c r="V35" s="47"/>
      <c r="W35" s="47"/>
      <c r="X35" s="316"/>
      <c r="Y35" s="316"/>
      <c r="Z35" s="316"/>
      <c r="AA35" s="316"/>
      <c r="AB35" s="317"/>
      <c r="AC35" s="317"/>
      <c r="AD35" s="58"/>
      <c r="AE35" s="320"/>
      <c r="AF35" s="320"/>
      <c r="AG35" s="320"/>
      <c r="AH35" s="320"/>
      <c r="AI35" s="59"/>
      <c r="AJ35" s="62"/>
    </row>
    <row r="36" spans="2:37" ht="12" customHeight="1">
      <c r="B36" s="109"/>
      <c r="C36" s="102"/>
      <c r="D36" s="95"/>
      <c r="E36" s="102"/>
      <c r="F36" s="102"/>
      <c r="G36" s="102"/>
      <c r="H36" s="95"/>
      <c r="I36" s="11"/>
      <c r="J36" s="60"/>
      <c r="K36" s="11"/>
      <c r="L36" s="11"/>
      <c r="M36" s="11"/>
      <c r="N36" s="11"/>
      <c r="O36" s="47"/>
      <c r="P36" s="47"/>
      <c r="Q36" s="65"/>
      <c r="R36" s="65"/>
      <c r="S36" s="47"/>
      <c r="T36" s="47"/>
      <c r="U36" s="47"/>
      <c r="V36" s="47"/>
      <c r="W36" s="47"/>
      <c r="X36" s="77"/>
      <c r="Y36" s="77"/>
      <c r="Z36" s="77"/>
      <c r="AA36" s="77"/>
      <c r="AB36" s="78"/>
      <c r="AC36" s="78"/>
      <c r="AD36" s="58"/>
      <c r="AE36" s="79"/>
      <c r="AF36" s="79"/>
      <c r="AG36" s="79"/>
      <c r="AH36" s="79"/>
      <c r="AI36" s="59"/>
      <c r="AJ36" s="62"/>
    </row>
    <row r="37" spans="2:37" ht="23.25" customHeight="1">
      <c r="B37" s="105" t="s">
        <v>56</v>
      </c>
      <c r="C37" s="95"/>
      <c r="D37" s="106"/>
      <c r="E37" s="102"/>
      <c r="F37" s="102"/>
      <c r="G37" s="106"/>
      <c r="H37" s="110" t="s">
        <v>56</v>
      </c>
      <c r="I37" s="61"/>
      <c r="J37" s="61"/>
      <c r="K37" s="61"/>
      <c r="L37" s="61"/>
      <c r="M37" s="61"/>
      <c r="N37" s="61"/>
      <c r="O37" s="47"/>
      <c r="P37" s="47"/>
      <c r="Q37" s="331" t="str">
        <f>'Start page'!D29</f>
        <v/>
      </c>
      <c r="R37" s="331"/>
      <c r="S37" s="331"/>
      <c r="T37" s="331"/>
      <c r="U37" s="331"/>
      <c r="V37" s="331"/>
      <c r="W37" s="331"/>
      <c r="X37" s="331"/>
      <c r="Y37" s="331"/>
      <c r="Z37" s="331"/>
      <c r="AA37" s="331"/>
      <c r="AB37" s="331"/>
      <c r="AC37" s="331"/>
      <c r="AD37" s="331"/>
      <c r="AE37" s="331"/>
      <c r="AF37" s="331"/>
      <c r="AG37" s="331"/>
      <c r="AH37" s="331"/>
      <c r="AI37" s="331"/>
      <c r="AJ37" s="47"/>
    </row>
    <row r="38" spans="2:37" ht="19.5" customHeight="1">
      <c r="B38" s="108" t="s">
        <v>1</v>
      </c>
      <c r="C38" s="108"/>
      <c r="D38" s="95"/>
      <c r="E38" s="102"/>
      <c r="F38" s="102"/>
      <c r="G38" s="95" t="s">
        <v>1</v>
      </c>
      <c r="H38" s="102"/>
      <c r="I38" s="47"/>
      <c r="J38" s="47"/>
      <c r="K38" s="47"/>
      <c r="L38" s="47"/>
      <c r="M38" s="47"/>
      <c r="N38" s="47"/>
      <c r="O38" s="47"/>
      <c r="P38" s="47"/>
      <c r="Q38" s="47"/>
      <c r="R38" s="65"/>
      <c r="S38" s="47"/>
      <c r="T38" s="47"/>
      <c r="U38" s="47"/>
      <c r="V38" s="47"/>
      <c r="W38" s="77"/>
      <c r="X38" s="77"/>
      <c r="Y38" s="77"/>
      <c r="Z38" s="77"/>
      <c r="AA38" s="79"/>
      <c r="AB38" s="79"/>
      <c r="AC38" s="77"/>
      <c r="AD38" s="77"/>
      <c r="AE38" s="77"/>
      <c r="AF38" s="77"/>
      <c r="AG38" s="77"/>
      <c r="AH38" s="77"/>
      <c r="AI38" s="47"/>
      <c r="AJ38" s="11"/>
    </row>
    <row r="39" spans="2:37" ht="14.5">
      <c r="B39" s="37" t="s">
        <v>56</v>
      </c>
      <c r="C39" s="37">
        <f>ROW()</f>
        <v>39</v>
      </c>
      <c r="D39" s="64"/>
      <c r="E39" s="64"/>
      <c r="F39" s="64"/>
      <c r="G39" s="64"/>
      <c r="H39" s="64"/>
      <c r="I39" s="64"/>
      <c r="J39" s="64"/>
      <c r="K39" s="64"/>
      <c r="L39" s="64"/>
      <c r="M39" s="64"/>
      <c r="N39" s="64"/>
      <c r="O39" s="64"/>
      <c r="P39" s="65"/>
      <c r="Q39" s="65"/>
      <c r="R39" s="65"/>
      <c r="S39" s="65"/>
      <c r="T39" s="65"/>
      <c r="U39" s="65"/>
      <c r="V39" s="65"/>
      <c r="W39" s="65"/>
      <c r="X39" s="65"/>
      <c r="Y39" s="65"/>
      <c r="Z39" s="65"/>
      <c r="AA39" s="65"/>
      <c r="AB39" s="65"/>
      <c r="AC39" s="314"/>
      <c r="AD39" s="322"/>
      <c r="AE39" s="322"/>
      <c r="AF39" s="322"/>
      <c r="AG39" s="322"/>
      <c r="AH39" s="322"/>
      <c r="AI39" s="65"/>
    </row>
    <row r="40" spans="2:37" ht="14.5">
      <c r="P40" s="34"/>
      <c r="Q40" s="34"/>
      <c r="R40" s="34"/>
      <c r="S40" s="34"/>
      <c r="T40" s="34"/>
      <c r="U40" s="34"/>
      <c r="V40" s="34"/>
      <c r="W40" s="34"/>
      <c r="X40" s="34"/>
      <c r="Y40" s="34"/>
      <c r="Z40" s="34"/>
      <c r="AA40" s="34"/>
      <c r="AB40" s="34"/>
      <c r="AC40" s="323"/>
      <c r="AD40" s="324"/>
      <c r="AE40" s="324"/>
      <c r="AF40" s="324"/>
      <c r="AG40" s="324"/>
      <c r="AH40" s="324"/>
      <c r="AI40" s="34"/>
    </row>
    <row r="41" spans="2:37" ht="14.5">
      <c r="B41" s="306" t="s">
        <v>235</v>
      </c>
      <c r="C41" s="307"/>
      <c r="D41" s="307"/>
      <c r="E41" s="307"/>
      <c r="F41" s="307"/>
      <c r="G41" s="308"/>
      <c r="H41" s="308"/>
      <c r="I41" s="309"/>
      <c r="J41" s="309"/>
      <c r="K41" s="309"/>
      <c r="L41" s="309"/>
      <c r="M41" s="309"/>
      <c r="N41" s="309"/>
      <c r="O41" s="310"/>
      <c r="P41" s="34"/>
      <c r="Q41" s="34"/>
      <c r="R41" s="34"/>
      <c r="S41" s="34"/>
      <c r="T41" s="34"/>
      <c r="U41" s="34"/>
      <c r="V41" s="34"/>
      <c r="W41" s="34"/>
      <c r="X41" s="34"/>
      <c r="Y41" s="34"/>
      <c r="Z41" s="34"/>
      <c r="AA41" s="34"/>
      <c r="AB41" s="34"/>
      <c r="AC41" s="314"/>
      <c r="AD41" s="315"/>
      <c r="AE41" s="315"/>
      <c r="AF41" s="315"/>
      <c r="AG41" s="315"/>
      <c r="AH41" s="315"/>
      <c r="AI41" s="34"/>
    </row>
    <row r="42" spans="2:37" ht="14.5">
      <c r="B42" s="311"/>
      <c r="C42" s="312"/>
      <c r="D42" s="312"/>
      <c r="E42" s="312"/>
      <c r="F42" s="312"/>
      <c r="G42" s="312"/>
      <c r="H42" s="312"/>
      <c r="I42" s="312"/>
      <c r="J42" s="312"/>
      <c r="K42" s="312"/>
      <c r="L42" s="312"/>
      <c r="M42" s="312"/>
      <c r="N42" s="312"/>
      <c r="O42" s="313"/>
      <c r="P42" s="34"/>
      <c r="Q42" s="34"/>
      <c r="R42" s="34"/>
      <c r="S42" s="34"/>
      <c r="T42" s="34"/>
      <c r="U42" s="34"/>
      <c r="V42" s="34"/>
      <c r="W42" s="34"/>
      <c r="X42" s="34"/>
      <c r="Y42" s="34"/>
      <c r="Z42" s="34"/>
      <c r="AA42" s="34"/>
      <c r="AB42" s="34"/>
      <c r="AC42" s="314"/>
      <c r="AD42" s="315"/>
      <c r="AE42" s="315"/>
      <c r="AF42" s="315"/>
      <c r="AG42" s="315"/>
      <c r="AH42" s="315"/>
      <c r="AI42" s="34"/>
    </row>
    <row r="43" spans="2:37" ht="14.5">
      <c r="P43" s="34"/>
      <c r="Q43" s="34"/>
      <c r="R43" s="34"/>
      <c r="S43" s="34"/>
      <c r="T43" s="34"/>
      <c r="U43" s="34"/>
      <c r="V43" s="34"/>
      <c r="W43" s="34"/>
      <c r="X43" s="34"/>
      <c r="Y43" s="34"/>
      <c r="Z43" s="34"/>
      <c r="AA43" s="34"/>
      <c r="AB43" s="34"/>
      <c r="AC43" s="34"/>
      <c r="AD43" s="34"/>
      <c r="AE43" s="34"/>
      <c r="AF43" s="34"/>
      <c r="AG43" s="34"/>
      <c r="AH43" s="34"/>
      <c r="AI43" s="34"/>
    </row>
    <row r="44" spans="2:37" ht="14.5">
      <c r="P44" s="34"/>
      <c r="Q44" s="34"/>
      <c r="R44" s="34"/>
      <c r="S44" s="34"/>
      <c r="T44" s="34"/>
      <c r="U44" s="34"/>
      <c r="V44" s="34"/>
      <c r="W44" s="34"/>
      <c r="X44" s="34"/>
      <c r="Y44" s="34"/>
      <c r="Z44" s="34"/>
      <c r="AA44" s="34"/>
      <c r="AB44" s="34"/>
      <c r="AC44" s="34"/>
      <c r="AD44" s="34"/>
      <c r="AE44" s="34"/>
      <c r="AF44" s="34"/>
      <c r="AG44" s="34"/>
      <c r="AH44" s="34"/>
      <c r="AI44" s="34"/>
    </row>
    <row r="45" spans="2:37" ht="14.5"/>
    <row r="46" spans="2:37" ht="14.5"/>
    <row r="47" spans="2:37" ht="14.5"/>
    <row r="48" spans="2:37" ht="14.5"/>
    <row r="49" ht="14.5"/>
    <row r="50" ht="14.5"/>
    <row r="51" ht="14.5"/>
    <row r="52" ht="14.5"/>
    <row r="53" ht="14.5"/>
    <row r="54" ht="14.5"/>
    <row r="55" ht="14.5"/>
    <row r="56" ht="14.5"/>
    <row r="57" ht="14.5"/>
    <row r="58" ht="14.5"/>
    <row r="59" ht="14.5"/>
    <row r="60" ht="14.5"/>
    <row r="61" ht="14.5"/>
    <row r="62" ht="14.5"/>
    <row r="63" ht="14.5"/>
    <row r="64" ht="14.5"/>
    <row r="65" ht="14.5"/>
    <row r="66" ht="14.5"/>
    <row r="67" ht="14.5"/>
    <row r="68" ht="14.5"/>
    <row r="69" ht="14.5"/>
    <row r="70" ht="14.5"/>
    <row r="71" ht="14.5"/>
    <row r="72" ht="14.5"/>
    <row r="73" ht="14.5"/>
    <row r="74" ht="14.5"/>
    <row r="75" ht="14.5"/>
    <row r="76" ht="14.5"/>
    <row r="77" ht="14.5"/>
    <row r="78" ht="14.5"/>
    <row r="79" ht="14.5"/>
    <row r="80" ht="14.5"/>
    <row r="81" ht="14.5"/>
    <row r="82" ht="14.5"/>
    <row r="83" ht="14.5"/>
    <row r="84" ht="14.5"/>
    <row r="85" ht="14.5"/>
    <row r="86" ht="14.5"/>
    <row r="87" ht="14.5"/>
    <row r="88" ht="14.5"/>
    <row r="89" ht="14.5"/>
    <row r="90" ht="14.5"/>
    <row r="91" ht="14.5"/>
    <row r="92" ht="14.5"/>
    <row r="93" ht="14.5"/>
    <row r="94" ht="14.5"/>
    <row r="95" ht="14.5"/>
    <row r="96" ht="14.5"/>
    <row r="97" ht="14.5"/>
    <row r="98" ht="14.5"/>
    <row r="99" ht="14.5"/>
    <row r="100" ht="14.5"/>
    <row r="101" ht="14.5"/>
    <row r="102" ht="14.5"/>
    <row r="103" ht="14.5"/>
    <row r="104" ht="14.5"/>
    <row r="105" ht="14.5"/>
    <row r="106" ht="14.5"/>
    <row r="107" ht="14.5"/>
    <row r="108" ht="14.5"/>
    <row r="109" ht="14.5"/>
    <row r="110" ht="14.5"/>
    <row r="111" ht="14.5"/>
    <row r="112" ht="14.5"/>
    <row r="113" ht="14.5"/>
    <row r="114" ht="14.5"/>
    <row r="115" ht="14.5"/>
    <row r="116" ht="14.5"/>
    <row r="117" ht="14.5"/>
    <row r="118" ht="14.5"/>
    <row r="119" ht="14.5"/>
    <row r="120" ht="14.5"/>
    <row r="121" ht="14.5"/>
    <row r="122" ht="14.5"/>
    <row r="123" ht="14.5"/>
    <row r="124" ht="14.5"/>
    <row r="125" ht="14.5"/>
    <row r="126" ht="14.5"/>
    <row r="127" ht="14.5"/>
    <row r="128" ht="14.5"/>
    <row r="129" ht="14.5"/>
    <row r="130" ht="14.5"/>
    <row r="131" ht="14.5"/>
    <row r="132" ht="14.5"/>
    <row r="133" ht="14.5"/>
    <row r="134" ht="14.5"/>
    <row r="135" ht="14.5"/>
    <row r="136" ht="14.5"/>
    <row r="137" ht="14.5"/>
    <row r="138" ht="14.5"/>
    <row r="139" ht="14.5"/>
    <row r="140" ht="14.5"/>
    <row r="141" ht="14.5"/>
    <row r="142" ht="14.5"/>
    <row r="143" ht="14.5"/>
    <row r="144" ht="14.5"/>
    <row r="145" ht="14.5"/>
    <row r="146" ht="14.5"/>
    <row r="147" ht="14.5"/>
    <row r="148" ht="14.5"/>
    <row r="149" ht="14.5"/>
    <row r="150" ht="14.5"/>
    <row r="151" ht="14.5"/>
    <row r="152" ht="14.5"/>
    <row r="153" ht="14.5"/>
    <row r="154" ht="14.5"/>
    <row r="155" ht="14.5"/>
    <row r="156" ht="14.5"/>
    <row r="157" ht="14.5"/>
    <row r="158" ht="14.5"/>
    <row r="159" ht="14.5"/>
    <row r="160" ht="15" customHeight="1"/>
    <row r="161" ht="15" customHeight="1"/>
    <row r="162" ht="15" customHeight="1"/>
    <row r="163" ht="15" customHeight="1"/>
    <row r="164" ht="15" customHeight="1"/>
  </sheetData>
  <sheetProtection algorithmName="SHA-512" hashValue="1NZkGFC8nnNDA8PT/0jHi/YE82uwhvwFcRZekLKvytNatD0yS7piNFD/0kSG63BkhNyVF6OW0wRyloGOdx5t3Q==" saltValue="asfDrj2sYtFVHOaN2AcdlA==" spinCount="100000" sheet="1" selectLockedCells="1"/>
  <mergeCells count="38">
    <mergeCell ref="B41:O42"/>
    <mergeCell ref="AJ31:AK31"/>
    <mergeCell ref="B8:C8"/>
    <mergeCell ref="B4:C4"/>
    <mergeCell ref="B5:C5"/>
    <mergeCell ref="B6:C6"/>
    <mergeCell ref="B7:C7"/>
    <mergeCell ref="B20:C20"/>
    <mergeCell ref="B9:C9"/>
    <mergeCell ref="B10:C10"/>
    <mergeCell ref="B11:C11"/>
    <mergeCell ref="B12:C12"/>
    <mergeCell ref="B13:C13"/>
    <mergeCell ref="B14:C14"/>
    <mergeCell ref="B15:C15"/>
    <mergeCell ref="B16:C16"/>
    <mergeCell ref="B17:C17"/>
    <mergeCell ref="B18:C18"/>
    <mergeCell ref="B19:C19"/>
    <mergeCell ref="B21:C21"/>
    <mergeCell ref="B22:C22"/>
    <mergeCell ref="X35:AA35"/>
    <mergeCell ref="AB35:AC35"/>
    <mergeCell ref="AE35:AH35"/>
    <mergeCell ref="B23:C23"/>
    <mergeCell ref="B26:C26"/>
    <mergeCell ref="X32:AA32"/>
    <mergeCell ref="AB32:AC32"/>
    <mergeCell ref="AE32:AH32"/>
    <mergeCell ref="Q33:AI33"/>
    <mergeCell ref="B28:C28"/>
    <mergeCell ref="Q31:AI31"/>
    <mergeCell ref="Q30:AI30"/>
    <mergeCell ref="AC40:AH40"/>
    <mergeCell ref="AC41:AH41"/>
    <mergeCell ref="AC42:AH42"/>
    <mergeCell ref="AC39:AH39"/>
    <mergeCell ref="Q37:AI37"/>
  </mergeCells>
  <conditionalFormatting sqref="D4:AH23">
    <cfRule type="expression" dxfId="208" priority="31">
      <formula>D$2</formula>
    </cfRule>
  </conditionalFormatting>
  <conditionalFormatting sqref="J4:J23">
    <cfRule type="expression" dxfId="207" priority="32">
      <formula>J$2</formula>
    </cfRule>
  </conditionalFormatting>
  <conditionalFormatting sqref="D3:AH3">
    <cfRule type="expression" dxfId="206" priority="30">
      <formula>MATCH(D3,INDIRECT("Fixed_weekdays[DateInYear]"),0)&gt;0</formula>
    </cfRule>
  </conditionalFormatting>
  <conditionalFormatting sqref="D3:AH3">
    <cfRule type="expression" dxfId="205" priority="29">
      <formula>MATCH(D3,INDIRECT("Fixed_dates[DateInYear]"),0)&gt;0</formula>
    </cfRule>
  </conditionalFormatting>
  <conditionalFormatting sqref="D3:AH3">
    <cfRule type="expression" dxfId="204" priority="28">
      <formula>AND(INDEX(INDIRECT("Shortened[WorkHours]"),MATCH(D3,INDIRECT("Shortened[DateInYear]"),0),0)&gt;0,INDEX(INDIRECT("Shortened[WorkHours]"),MATCH(D3,INDIRECT("Shortened[DateInYear]"),0),0)&lt;8)</formula>
    </cfRule>
  </conditionalFormatting>
  <conditionalFormatting sqref="D3:AH3">
    <cfRule type="expression" dxfId="203" priority="27">
      <formula>AND(INDEX(INDIRECT("Clamp[WorkHours]"),MATCH(C3,INDIRECT("Clamp[DateInYear]"),0),0)&gt;0,INDEX(INDIRECT("Clamp[WorkHours]"),MATCH(C3,INDIRECT("Clamp[DateInYear]"),0),0)&lt;8)</formula>
    </cfRule>
  </conditionalFormatting>
  <conditionalFormatting sqref="D3:AH3">
    <cfRule type="expression" dxfId="202" priority="25">
      <formula>INDEX(INDIRECT("Shortened[WorkHours]"),MATCH(D3,INDIRECT("Shortened[DateInYear]"),0),0)&gt;7</formula>
    </cfRule>
    <cfRule type="expression" dxfId="201" priority="26">
      <formula>INDEX(INDIRECT("Clamp[WorkHours]"),MATCH(D3,INDIRECT("Clamp[DateInYear]"),0),0)&gt;7</formula>
    </cfRule>
  </conditionalFormatting>
  <conditionalFormatting sqref="D3:AH3">
    <cfRule type="expression" dxfId="200" priority="24">
      <formula>OR(WEEKDAY(D3,2)=6,WEEKDAY(D3,2)=7)</formula>
    </cfRule>
  </conditionalFormatting>
  <conditionalFormatting sqref="J18:J22">
    <cfRule type="expression" dxfId="199" priority="23">
      <formula>J$2</formula>
    </cfRule>
  </conditionalFormatting>
  <conditionalFormatting sqref="B4:C22">
    <cfRule type="containsText" dxfId="198" priority="15" operator="containsText" text="Other US">
      <formula>NOT(ISERROR(SEARCH("Other US",B4)))</formula>
    </cfRule>
    <cfRule type="containsText" dxfId="197" priority="16" operator="containsText" text="US Army">
      <formula>NOT(ISERROR(SEARCH("US Army",B4)))</formula>
    </cfRule>
    <cfRule type="containsText" dxfId="196" priority="18" operator="containsText" text="NIH">
      <formula>NOT(ISERROR(SEARCH("NIH",B4)))</formula>
    </cfRule>
    <cfRule type="containsText" dxfId="195" priority="19" operator="containsText" text="FP7">
      <formula>NOT(ISERROR(SEARCH("FP7",B4)))</formula>
    </cfRule>
    <cfRule type="containsText" dxfId="194" priority="20" operator="containsText" text="H2020">
      <formula>NOT(ISERROR(SEARCH("H2020",B4)))</formula>
    </cfRule>
    <cfRule type="containsText" dxfId="193" priority="21" operator="containsText" text="Sida">
      <formula>NOT(ISERROR(SEARCH("Sida",B4)))</formula>
    </cfRule>
    <cfRule type="containsText" dxfId="192" priority="22" operator="containsText" text="Other">
      <formula>NOT(ISERROR(SEARCH("Other",B4)))</formula>
    </cfRule>
  </conditionalFormatting>
  <conditionalFormatting sqref="D25:AG25">
    <cfRule type="iconSet" priority="10">
      <iconSet iconSet="3Flags">
        <cfvo type="percent" val="0"/>
        <cfvo type="percent" val="33"/>
        <cfvo type="percent" val="67"/>
      </iconSet>
    </cfRule>
  </conditionalFormatting>
  <conditionalFormatting sqref="D25:AG25">
    <cfRule type="iconSet" priority="9">
      <iconSet iconSet="3Flags">
        <cfvo type="percent" val="0"/>
        <cfvo type="percent" val="33"/>
        <cfvo type="percent" val="67"/>
      </iconSet>
    </cfRule>
  </conditionalFormatting>
  <conditionalFormatting sqref="AJ31">
    <cfRule type="expression" dxfId="191" priority="5">
      <formula>AK$2</formula>
    </cfRule>
  </conditionalFormatting>
  <conditionalFormatting sqref="D26:AH26">
    <cfRule type="cellIs" dxfId="190" priority="1" operator="greaterThan">
      <formula>24</formula>
    </cfRule>
    <cfRule type="cellIs" dxfId="189" priority="2" operator="greaterThan">
      <formula>14</formula>
    </cfRule>
  </conditionalFormatting>
  <dataValidations count="1">
    <dataValidation type="decimal" allowBlank="1" showInputMessage="1" showErrorMessage="1" errorTitle="ERROR !" error="You may report min 0,5 and max 24 hrs per WP or Project" sqref="D4:AH23" xr:uid="{00000000-0002-0000-0700-000000000000}">
      <formula1>0.5</formula1>
      <formula2>24</formula2>
    </dataValidation>
  </dataValidations>
  <printOptions horizontalCentered="1" verticalCentered="1"/>
  <pageMargins left="0.7" right="0.7" top="1.2072916666666667" bottom="0.75" header="0.45652173913043476" footer="0.3"/>
  <pageSetup paperSize="9" scale="50" orientation="landscape" r:id="rId1"/>
  <headerFooter>
    <oddHeader>&amp;L&amp;G&amp;C&amp;24TIMESHEET</oddHeader>
  </headerFooter>
  <legacyDrawingHF r:id="rId2"/>
  <extLst>
    <ext xmlns:x14="http://schemas.microsoft.com/office/spreadsheetml/2009/9/main" uri="{78C0D931-6437-407d-A8EE-F0AAD7539E65}">
      <x14:conditionalFormattings>
        <x14:conditionalFormatting xmlns:xm="http://schemas.microsoft.com/office/excel/2006/main">
          <x14:cfRule type="containsText" priority="17" operator="containsText" id="{2A532502-717B-4635-AD13-970E31B8096E}">
            <xm:f>NOT(ISERROR(SEARCH("Non-project",B4)))</xm:f>
            <xm:f>"Non-project"</xm:f>
            <x14:dxf>
              <fill>
                <patternFill>
                  <bgColor theme="6" tint="0.59996337778862885"/>
                </patternFill>
              </fill>
            </x14:dxf>
          </x14:cfRule>
          <xm:sqref>B4:C22</xm:sqref>
        </x14:conditionalFormatting>
        <x14:conditionalFormatting xmlns:xm="http://schemas.microsoft.com/office/excel/2006/main">
          <x14:cfRule type="iconSet" priority="8" id="{4DDF1BC3-3992-4856-8B5B-535E657C6144}">
            <x14:iconSet iconSet="3Flags" showValue="0" custom="1">
              <x14:cfvo type="percent">
                <xm:f>0</xm:f>
              </x14:cfvo>
              <x14:cfvo type="num" gte="0">
                <xm:f>14</xm:f>
              </x14:cfvo>
              <x14:cfvo type="num" gte="0">
                <xm:f>24</xm:f>
              </x14:cfvo>
              <x14:cfIcon iconSet="NoIcons" iconId="0"/>
              <x14:cfIcon iconSet="3Flags" iconId="1"/>
              <x14:cfIcon iconSet="3Flags" iconId="0"/>
            </x14:iconSet>
          </x14:cfRule>
          <xm:sqref>D25:AG25</xm:sqref>
        </x14:conditionalFormatting>
        <x14:conditionalFormatting xmlns:xm="http://schemas.microsoft.com/office/excel/2006/main">
          <x14:cfRule type="iconSet" priority="4" id="{AC9BF499-337C-43D1-B4CF-D89E250340BB}">
            <x14:iconSet iconSet="3Flags" showValue="0" custom="1">
              <x14:cfvo type="percent">
                <xm:f>0</xm:f>
              </x14:cfvo>
              <x14:cfvo type="num">
                <xm:f>0</xm:f>
              </x14:cfvo>
              <x14:cfvo type="num" gte="0">
                <xm:f>0</xm:f>
              </x14:cfvo>
              <x14:cfIcon iconSet="NoIcons" iconId="0"/>
              <x14:cfIcon iconSet="NoIcons" iconId="0"/>
              <x14:cfIcon iconSet="3Flags" iconId="1"/>
            </x14:iconSet>
          </x14:cfRule>
          <xm:sqref>AJ32</xm:sqref>
        </x14:conditionalFormatting>
        <x14:conditionalFormatting xmlns:xm="http://schemas.microsoft.com/office/excel/2006/main">
          <x14:cfRule type="iconSet" priority="3" id="{932FF04B-D1E2-4973-A0FF-5C52E9A5F5BF}">
            <x14:iconSet iconSet="3Flags" showValue="0" custom="1">
              <x14:cfvo type="percent">
                <xm:f>0</xm:f>
              </x14:cfvo>
              <x14:cfvo type="num">
                <xm:f>0</xm:f>
              </x14:cfvo>
              <x14:cfvo type="num" gte="0">
                <xm:f>0</xm:f>
              </x14:cfvo>
              <x14:cfIcon iconSet="NoIcons" iconId="0"/>
              <x14:cfIcon iconSet="NoIcons" iconId="0"/>
              <x14:cfIcon iconSet="3Flags" iconId="0"/>
            </x14:iconSet>
          </x14:cfRule>
          <xm:sqref>AJ33</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6">
    <tabColor theme="5" tint="-0.249977111117893"/>
    <pageSetUpPr fitToPage="1"/>
  </sheetPr>
  <dimension ref="B1:AO164"/>
  <sheetViews>
    <sheetView showGridLines="0" showZeros="0" zoomScale="40" zoomScaleNormal="40" zoomScaleSheetLayoutView="55" workbookViewId="0">
      <selection activeCell="D4" sqref="D4"/>
    </sheetView>
  </sheetViews>
  <sheetFormatPr defaultColWidth="0" defaultRowHeight="15" customHeight="1" zeroHeight="1"/>
  <cols>
    <col min="1" max="1" width="1.54296875" style="12" customWidth="1"/>
    <col min="2" max="3" width="25.7265625" style="12" customWidth="1"/>
    <col min="4" max="34" width="5.1796875" style="12" customWidth="1"/>
    <col min="35" max="35" width="8.26953125" style="12" customWidth="1"/>
    <col min="36" max="36" width="8.1796875" style="12" bestFit="1" customWidth="1"/>
    <col min="37" max="37" width="29.26953125" style="12" customWidth="1"/>
    <col min="38" max="38" width="4.81640625" style="118" customWidth="1"/>
    <col min="39" max="40" width="9.1796875" style="12" customWidth="1"/>
    <col min="41" max="41" width="9" style="12" customWidth="1"/>
    <col min="42" max="16383" width="9.1796875" style="12" customWidth="1"/>
    <col min="16384" max="16384" width="2.1796875" style="12" customWidth="1"/>
  </cols>
  <sheetData>
    <row r="1" spans="2:38" ht="21">
      <c r="B1" s="96" t="s">
        <v>78</v>
      </c>
      <c r="C1" s="96">
        <f>Year</f>
        <v>2021</v>
      </c>
      <c r="D1" s="97"/>
      <c r="E1" s="97"/>
      <c r="F1" s="97"/>
      <c r="G1" s="97"/>
      <c r="H1" s="97"/>
      <c r="I1" s="97"/>
      <c r="J1" s="97"/>
      <c r="K1" s="97"/>
      <c r="L1" s="97"/>
      <c r="M1" s="97"/>
      <c r="N1" s="114"/>
      <c r="O1" s="97"/>
      <c r="P1" s="98" t="s">
        <v>6</v>
      </c>
      <c r="Q1" s="99">
        <f>Member</f>
        <v>0</v>
      </c>
      <c r="R1" s="97"/>
      <c r="S1" s="48"/>
      <c r="T1" s="48"/>
      <c r="U1" s="48"/>
      <c r="V1" s="48"/>
      <c r="W1" s="48"/>
      <c r="X1" s="48"/>
      <c r="Y1" s="48"/>
      <c r="Z1" s="48"/>
      <c r="AA1" s="48"/>
      <c r="AB1" s="48"/>
      <c r="AC1" s="115"/>
      <c r="AD1" s="48"/>
      <c r="AE1" s="34"/>
      <c r="AF1" s="48"/>
      <c r="AG1" s="48"/>
      <c r="AH1" s="48"/>
      <c r="AI1" s="34"/>
      <c r="AJ1" s="34"/>
    </row>
    <row r="2" spans="2:38" ht="12.75" customHeight="1">
      <c r="B2" s="36"/>
      <c r="C2" s="50">
        <f>C39</f>
        <v>39</v>
      </c>
      <c r="D2" s="50" t="b">
        <f ca="1">OR(OR(WEEKDAY(D3,2)=6,WEEKDAY(D3,2)=7),IFERROR(INDEX(INDIRECT("Shortened[WorkHours]"),MATCH(D3,INDIRECT("Shortened[DateInYear]"),0),0),0)&gt;7,IFERROR(INDEX(INDIRECT("Clamp[WorkHours]"),MATCH(D3,INDIRECT("Clamp[DateInYear]"),0),0),0)&gt;7,IFERROR(MATCH(D3,INDIRECT("Fixed_dates[DateInYear]"),0),0)&gt;0,IFERROR(MATCH(D3,INDIRECT("Fixed_weekdays[DateInYear]"),0),0)&gt;0)</f>
        <v>1</v>
      </c>
      <c r="E2" s="50" t="b">
        <f t="shared" ref="E2:AH2" ca="1" si="0">OR(OR(WEEKDAY(E3,2)=6,WEEKDAY(E3,2)=7),IFERROR(INDEX(INDIRECT("Shortened[WorkHours]"),MATCH(E3,INDIRECT("Shortened[DateInYear]"),0),0),0)&gt;7,IFERROR(INDEX(INDIRECT("Clamp[WorkHours]"),MATCH(E3,INDIRECT("Clamp[DateInYear]"),0),0),0)&gt;7,IFERROR(MATCH(E3,INDIRECT("Fixed_dates[DateInYear]"),0),0)&gt;0,IFERROR(MATCH(E3,INDIRECT("Fixed_weekdays[DateInYear]"),0),0)&gt;0)</f>
        <v>1</v>
      </c>
      <c r="F2" s="50" t="b">
        <f t="shared" ca="1" si="0"/>
        <v>0</v>
      </c>
      <c r="G2" s="50" t="b">
        <f t="shared" ca="1" si="0"/>
        <v>0</v>
      </c>
      <c r="H2" s="50" t="b">
        <f t="shared" ca="1" si="0"/>
        <v>0</v>
      </c>
      <c r="I2" s="50" t="b">
        <f t="shared" ca="1" si="0"/>
        <v>0</v>
      </c>
      <c r="J2" s="50" t="b">
        <f t="shared" ca="1" si="0"/>
        <v>0</v>
      </c>
      <c r="K2" s="50" t="b">
        <f t="shared" ca="1" si="0"/>
        <v>1</v>
      </c>
      <c r="L2" s="50" t="b">
        <f t="shared" ca="1" si="0"/>
        <v>1</v>
      </c>
      <c r="M2" s="50" t="b">
        <f t="shared" ca="1" si="0"/>
        <v>0</v>
      </c>
      <c r="N2" s="50" t="b">
        <f t="shared" ca="1" si="0"/>
        <v>0</v>
      </c>
      <c r="O2" s="50" t="b">
        <f t="shared" ca="1" si="0"/>
        <v>0</v>
      </c>
      <c r="P2" s="50" t="b">
        <f t="shared" ca="1" si="0"/>
        <v>1</v>
      </c>
      <c r="Q2" s="50" t="b">
        <f t="shared" ca="1" si="0"/>
        <v>1</v>
      </c>
      <c r="R2" s="116" t="b">
        <f t="shared" ca="1" si="0"/>
        <v>1</v>
      </c>
      <c r="S2" s="50" t="b">
        <f t="shared" ca="1" si="0"/>
        <v>1</v>
      </c>
      <c r="T2" s="50" t="b">
        <f t="shared" ca="1" si="0"/>
        <v>0</v>
      </c>
      <c r="U2" s="50" t="b">
        <f t="shared" ca="1" si="0"/>
        <v>0</v>
      </c>
      <c r="V2" s="50" t="b">
        <f t="shared" ca="1" si="0"/>
        <v>0</v>
      </c>
      <c r="W2" s="50" t="b">
        <f t="shared" ca="1" si="0"/>
        <v>0</v>
      </c>
      <c r="X2" s="50" t="b">
        <f t="shared" ca="1" si="0"/>
        <v>0</v>
      </c>
      <c r="Y2" s="50" t="b">
        <f t="shared" ca="1" si="0"/>
        <v>1</v>
      </c>
      <c r="Z2" s="50" t="b">
        <f t="shared" ca="1" si="0"/>
        <v>1</v>
      </c>
      <c r="AA2" s="50" t="b">
        <f t="shared" ca="1" si="0"/>
        <v>0</v>
      </c>
      <c r="AB2" s="50" t="b">
        <f t="shared" ca="1" si="0"/>
        <v>0</v>
      </c>
      <c r="AC2" s="50" t="b">
        <f t="shared" ca="1" si="0"/>
        <v>0</v>
      </c>
      <c r="AD2" s="50" t="b">
        <f t="shared" ca="1" si="0"/>
        <v>0</v>
      </c>
      <c r="AE2" s="50" t="b">
        <f t="shared" ca="1" si="0"/>
        <v>0</v>
      </c>
      <c r="AF2" s="50" t="b">
        <f ca="1">OR(OR(WEEKDAY(AF3,2)=6,WEEKDAY(AF3,2)=7),IFERROR(INDEX(INDIRECT("Shortened[WorkHours]"),MATCH(AF3,INDIRECT("Shortened[DateInYear]"),0),0),0)&gt;7,IFERROR(INDEX(INDIRECT("Clamp[WorkHours]"),MATCH(AF3,INDIRECT("Clamp[DateInYear]"),0),0),0)&gt;7,IFERROR(MATCH(AF3,INDIRECT("Fixed_dates[DateInYear]"),0),0)&gt;0,IFERROR(MATCH(AF3,INDIRECT("Fixed_weekdays[DateInYear]"),0),0)&gt;0)</f>
        <v>1</v>
      </c>
      <c r="AG2" s="50" t="b">
        <f t="shared" ca="1" si="0"/>
        <v>1</v>
      </c>
      <c r="AH2" s="50" t="b">
        <f t="shared" ca="1" si="0"/>
        <v>0</v>
      </c>
      <c r="AI2" s="100"/>
      <c r="AJ2" s="117"/>
    </row>
    <row r="3" spans="2:38" ht="17.149999999999999" customHeight="1">
      <c r="B3" s="85" t="s">
        <v>74</v>
      </c>
      <c r="C3" s="86"/>
      <c r="D3" s="87">
        <f>DATEVALUE(AloxÅr&amp;"-"&amp;VLOOKUP(LEFT(B1,3),Holidays!$M$4:$N$15,2,0)&amp;"-1")</f>
        <v>44317</v>
      </c>
      <c r="E3" s="87">
        <f>DATE(YEAR(D3),MONTH(D3),DAY(D3)+1)</f>
        <v>44318</v>
      </c>
      <c r="F3" s="87">
        <f t="shared" ref="F3:AH3" si="1">DATE(YEAR(E3),MONTH(E3),DAY(E3)+1)</f>
        <v>44319</v>
      </c>
      <c r="G3" s="87">
        <f t="shared" si="1"/>
        <v>44320</v>
      </c>
      <c r="H3" s="87">
        <f t="shared" si="1"/>
        <v>44321</v>
      </c>
      <c r="I3" s="87">
        <f t="shared" si="1"/>
        <v>44322</v>
      </c>
      <c r="J3" s="87">
        <f t="shared" si="1"/>
        <v>44323</v>
      </c>
      <c r="K3" s="87">
        <f t="shared" si="1"/>
        <v>44324</v>
      </c>
      <c r="L3" s="87">
        <f t="shared" si="1"/>
        <v>44325</v>
      </c>
      <c r="M3" s="87">
        <f t="shared" si="1"/>
        <v>44326</v>
      </c>
      <c r="N3" s="87">
        <f t="shared" si="1"/>
        <v>44327</v>
      </c>
      <c r="O3" s="87">
        <f t="shared" si="1"/>
        <v>44328</v>
      </c>
      <c r="P3" s="87">
        <f t="shared" si="1"/>
        <v>44329</v>
      </c>
      <c r="Q3" s="87">
        <f t="shared" si="1"/>
        <v>44330</v>
      </c>
      <c r="R3" s="87">
        <f t="shared" si="1"/>
        <v>44331</v>
      </c>
      <c r="S3" s="87">
        <f t="shared" si="1"/>
        <v>44332</v>
      </c>
      <c r="T3" s="87">
        <f t="shared" si="1"/>
        <v>44333</v>
      </c>
      <c r="U3" s="87">
        <f t="shared" si="1"/>
        <v>44334</v>
      </c>
      <c r="V3" s="87">
        <f t="shared" si="1"/>
        <v>44335</v>
      </c>
      <c r="W3" s="87">
        <f t="shared" si="1"/>
        <v>44336</v>
      </c>
      <c r="X3" s="87">
        <f t="shared" si="1"/>
        <v>44337</v>
      </c>
      <c r="Y3" s="87">
        <f t="shared" si="1"/>
        <v>44338</v>
      </c>
      <c r="Z3" s="87">
        <f t="shared" si="1"/>
        <v>44339</v>
      </c>
      <c r="AA3" s="87">
        <f t="shared" si="1"/>
        <v>44340</v>
      </c>
      <c r="AB3" s="87">
        <f t="shared" si="1"/>
        <v>44341</v>
      </c>
      <c r="AC3" s="87">
        <f t="shared" si="1"/>
        <v>44342</v>
      </c>
      <c r="AD3" s="87">
        <f t="shared" si="1"/>
        <v>44343</v>
      </c>
      <c r="AE3" s="87">
        <f t="shared" si="1"/>
        <v>44344</v>
      </c>
      <c r="AF3" s="87">
        <f t="shared" si="1"/>
        <v>44345</v>
      </c>
      <c r="AG3" s="87">
        <f t="shared" si="1"/>
        <v>44346</v>
      </c>
      <c r="AH3" s="87">
        <f t="shared" si="1"/>
        <v>44347</v>
      </c>
      <c r="AI3" s="113" t="s">
        <v>3</v>
      </c>
      <c r="AJ3" s="184" t="s">
        <v>97</v>
      </c>
      <c r="AK3" s="183" t="s">
        <v>213</v>
      </c>
    </row>
    <row r="4" spans="2:38" s="64" customFormat="1" ht="17.149999999999999" customHeight="1">
      <c r="B4" s="327" t="str">
        <f>IFERROR(Project.01&amp;" "&amp;WP.01&amp;" "&amp;Contract.01&amp;" "&amp;Type.01&amp;" "&amp;Activity.01," ")</f>
        <v xml:space="preserve">    </v>
      </c>
      <c r="C4" s="327"/>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9">
        <f t="shared" ref="AI4:AI23" si="2">SUM(D4:AH4)</f>
        <v>0</v>
      </c>
      <c r="AJ4" s="185" t="str">
        <f t="shared" ref="AJ4:AJ23" si="3">IFERROR(AI4/$AI$26,"")</f>
        <v/>
      </c>
      <c r="AK4" s="188"/>
      <c r="AL4" s="119"/>
    </row>
    <row r="5" spans="2:38" s="64" customFormat="1" ht="17.149999999999999" customHeight="1">
      <c r="B5" s="327" t="str">
        <f>IFERROR(Project.02&amp;" "&amp;WP.02&amp;" "&amp;Contract.02&amp;" "&amp;Type.02&amp;" "&amp;Activity.02," ")</f>
        <v xml:space="preserve">    </v>
      </c>
      <c r="C5" s="327"/>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9">
        <f t="shared" si="2"/>
        <v>0</v>
      </c>
      <c r="AJ5" s="185" t="str">
        <f t="shared" si="3"/>
        <v/>
      </c>
      <c r="AK5" s="188"/>
      <c r="AL5" s="119"/>
    </row>
    <row r="6" spans="2:38" s="64" customFormat="1" ht="17.149999999999999" customHeight="1">
      <c r="B6" s="327" t="str">
        <f>IFERROR(Project.03&amp;" "&amp;WP.03&amp;" "&amp;Contract.03&amp;" "&amp;Type.03&amp;" "&amp;Activity.03," ")</f>
        <v xml:space="preserve">    </v>
      </c>
      <c r="C6" s="327"/>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9">
        <f t="shared" si="2"/>
        <v>0</v>
      </c>
      <c r="AJ6" s="185" t="str">
        <f t="shared" si="3"/>
        <v/>
      </c>
      <c r="AK6" s="188"/>
      <c r="AL6" s="119"/>
    </row>
    <row r="7" spans="2:38" s="64" customFormat="1" ht="17.149999999999999" customHeight="1">
      <c r="B7" s="327" t="str">
        <f>IFERROR(Project.04&amp;" "&amp;WP.04&amp;" "&amp;Contract.04&amp;" "&amp;Type.04&amp;" "&amp;Activity.04," ")</f>
        <v xml:space="preserve">    </v>
      </c>
      <c r="C7" s="327"/>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9">
        <f t="shared" si="2"/>
        <v>0</v>
      </c>
      <c r="AJ7" s="185" t="str">
        <f t="shared" si="3"/>
        <v/>
      </c>
      <c r="AK7" s="188"/>
      <c r="AL7" s="119"/>
    </row>
    <row r="8" spans="2:38" s="64" customFormat="1" ht="17.149999999999999" customHeight="1">
      <c r="B8" s="327" t="str">
        <f>IFERROR(Project.05&amp;" "&amp;WP.05&amp;" "&amp;Contract.05&amp;" "&amp;Type.05&amp;" "&amp;Activity.05," ")</f>
        <v xml:space="preserve">    </v>
      </c>
      <c r="C8" s="327"/>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9">
        <f t="shared" si="2"/>
        <v>0</v>
      </c>
      <c r="AJ8" s="185" t="str">
        <f t="shared" si="3"/>
        <v/>
      </c>
      <c r="AK8" s="188"/>
      <c r="AL8" s="119"/>
    </row>
    <row r="9" spans="2:38" s="64" customFormat="1" ht="17.149999999999999" customHeight="1">
      <c r="B9" s="327" t="str">
        <f>IFERROR(Project.06&amp;" "&amp;WP.06&amp;" "&amp;Contract.06&amp;" "&amp;Type.06&amp;" "&amp;Activity.06," ")</f>
        <v xml:space="preserve">    </v>
      </c>
      <c r="C9" s="327"/>
      <c r="D9" s="88"/>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9">
        <f t="shared" si="2"/>
        <v>0</v>
      </c>
      <c r="AJ9" s="185" t="str">
        <f t="shared" si="3"/>
        <v/>
      </c>
      <c r="AK9" s="188"/>
      <c r="AL9" s="119"/>
    </row>
    <row r="10" spans="2:38" s="64" customFormat="1" ht="17.149999999999999" customHeight="1">
      <c r="B10" s="327" t="str">
        <f>IFERROR(Project.07&amp;" "&amp;WP.07&amp;" "&amp;Contract.07&amp;" "&amp;Type.07&amp;" "&amp;Activity.07," ")</f>
        <v xml:space="preserve">    </v>
      </c>
      <c r="C10" s="327"/>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9">
        <f t="shared" si="2"/>
        <v>0</v>
      </c>
      <c r="AJ10" s="185" t="str">
        <f t="shared" si="3"/>
        <v/>
      </c>
      <c r="AK10" s="188"/>
      <c r="AL10" s="119"/>
    </row>
    <row r="11" spans="2:38" s="64" customFormat="1" ht="17.149999999999999" customHeight="1">
      <c r="B11" s="327" t="str">
        <f>IFERROR(Project.08&amp;" "&amp;WP.08&amp;" "&amp;Contract.08&amp;" "&amp;Type.08&amp;" "&amp;Activity.08," ")</f>
        <v xml:space="preserve">    </v>
      </c>
      <c r="C11" s="327"/>
      <c r="D11" s="88"/>
      <c r="E11" s="88"/>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9">
        <f t="shared" si="2"/>
        <v>0</v>
      </c>
      <c r="AJ11" s="185" t="str">
        <f t="shared" si="3"/>
        <v/>
      </c>
      <c r="AK11" s="188"/>
      <c r="AL11" s="119"/>
    </row>
    <row r="12" spans="2:38" s="64" customFormat="1" ht="17.149999999999999" customHeight="1">
      <c r="B12" s="327" t="str">
        <f>(Project.09&amp;" "&amp;WP.09&amp;" "&amp;Contract.09&amp;" "&amp;Type.09&amp;" "&amp;Activity.09)</f>
        <v xml:space="preserve">    </v>
      </c>
      <c r="C12" s="327"/>
      <c r="D12" s="88"/>
      <c r="E12" s="88"/>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9">
        <f t="shared" si="2"/>
        <v>0</v>
      </c>
      <c r="AJ12" s="185" t="str">
        <f t="shared" si="3"/>
        <v/>
      </c>
      <c r="AK12" s="188"/>
      <c r="AL12" s="119"/>
    </row>
    <row r="13" spans="2:38" s="64" customFormat="1" ht="17.149999999999999" customHeight="1">
      <c r="B13" s="327" t="str">
        <f>IFERROR(Project.10&amp;" "&amp;WP.10&amp;" "&amp;Contract.10&amp;" "&amp;Type.10&amp;" "&amp;Activity.10," ")</f>
        <v xml:space="preserve">    </v>
      </c>
      <c r="C13" s="327"/>
      <c r="D13" s="88"/>
      <c r="E13" s="88"/>
      <c r="F13" s="88"/>
      <c r="G13" s="88"/>
      <c r="H13" s="88"/>
      <c r="I13" s="88"/>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9">
        <f t="shared" si="2"/>
        <v>0</v>
      </c>
      <c r="AJ13" s="185" t="str">
        <f t="shared" si="3"/>
        <v/>
      </c>
      <c r="AK13" s="188"/>
      <c r="AL13" s="119"/>
    </row>
    <row r="14" spans="2:38" s="64" customFormat="1" ht="17.149999999999999" customHeight="1">
      <c r="B14" s="327" t="str">
        <f>IFERROR(Project.11&amp;" "&amp;WP.11&amp;" "&amp;Contract.11&amp;" "&amp;Type.11&amp;" "&amp;Activity.11," ")</f>
        <v xml:space="preserve">    </v>
      </c>
      <c r="C14" s="327"/>
      <c r="D14" s="88"/>
      <c r="E14" s="88"/>
      <c r="F14" s="88"/>
      <c r="G14" s="88"/>
      <c r="H14" s="88"/>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9">
        <f t="shared" si="2"/>
        <v>0</v>
      </c>
      <c r="AJ14" s="185" t="str">
        <f t="shared" si="3"/>
        <v/>
      </c>
      <c r="AK14" s="188"/>
      <c r="AL14" s="119"/>
    </row>
    <row r="15" spans="2:38" s="64" customFormat="1" ht="17.149999999999999" customHeight="1">
      <c r="B15" s="327" t="str">
        <f>IFERROR(Project.12&amp;" "&amp;WP.12&amp;" "&amp;Contract.12&amp;" "&amp;Type.12&amp;" "&amp;Activity.12," ")</f>
        <v xml:space="preserve">    </v>
      </c>
      <c r="C15" s="327"/>
      <c r="D15" s="88"/>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9">
        <f t="shared" si="2"/>
        <v>0</v>
      </c>
      <c r="AJ15" s="185" t="str">
        <f t="shared" si="3"/>
        <v/>
      </c>
      <c r="AK15" s="188"/>
      <c r="AL15" s="119"/>
    </row>
    <row r="16" spans="2:38" s="64" customFormat="1" ht="17.149999999999999" customHeight="1">
      <c r="B16" s="327" t="str">
        <f>IFERROR(Project.13&amp;" "&amp;WP.13&amp;" "&amp;Contract.13&amp;" "&amp;Type.13&amp;" "&amp;Activity.13," ")</f>
        <v xml:space="preserve">    </v>
      </c>
      <c r="C16" s="327"/>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9">
        <f t="shared" si="2"/>
        <v>0</v>
      </c>
      <c r="AJ16" s="185" t="str">
        <f t="shared" si="3"/>
        <v/>
      </c>
      <c r="AK16" s="188"/>
      <c r="AL16" s="119"/>
    </row>
    <row r="17" spans="2:41" s="64" customFormat="1" ht="17.149999999999999" customHeight="1">
      <c r="B17" s="327" t="str">
        <f>IFERROR(Project.14&amp;" "&amp;WP.14&amp;" "&amp;Contract.14&amp;" "&amp;Type.14&amp;" "&amp;Activity.14," ")</f>
        <v xml:space="preserve">    </v>
      </c>
      <c r="C17" s="327"/>
      <c r="D17" s="88"/>
      <c r="E17" s="88"/>
      <c r="F17" s="88"/>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9">
        <f t="shared" si="2"/>
        <v>0</v>
      </c>
      <c r="AJ17" s="185" t="str">
        <f t="shared" si="3"/>
        <v/>
      </c>
      <c r="AK17" s="188"/>
      <c r="AL17" s="119"/>
    </row>
    <row r="18" spans="2:41" s="64" customFormat="1" ht="17.149999999999999" customHeight="1">
      <c r="B18" s="327" t="str">
        <f>IFERROR(Project.15&amp;" "&amp;WP.15&amp;" "&amp;Contract.15&amp;" "&amp;Type.15&amp;" "&amp;Activity.15," ")</f>
        <v xml:space="preserve">    </v>
      </c>
      <c r="C18" s="327"/>
      <c r="D18" s="88"/>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9">
        <f t="shared" si="2"/>
        <v>0</v>
      </c>
      <c r="AJ18" s="185" t="str">
        <f t="shared" si="3"/>
        <v/>
      </c>
      <c r="AK18" s="188"/>
      <c r="AL18" s="119"/>
    </row>
    <row r="19" spans="2:41" s="64" customFormat="1" ht="17.149999999999999" customHeight="1">
      <c r="B19" s="327" t="str">
        <f>IFERROR(Project.16&amp;" "&amp;WP.16&amp;" "&amp;Contract.16&amp;" "&amp;Type.16&amp;" "&amp;Activity.16," ")</f>
        <v xml:space="preserve">    </v>
      </c>
      <c r="C19" s="327"/>
      <c r="D19" s="88"/>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9">
        <f t="shared" si="2"/>
        <v>0</v>
      </c>
      <c r="AJ19" s="185" t="str">
        <f t="shared" si="3"/>
        <v/>
      </c>
      <c r="AK19" s="188"/>
      <c r="AL19" s="119"/>
    </row>
    <row r="20" spans="2:41" s="64" customFormat="1" ht="17.149999999999999" customHeight="1">
      <c r="B20" s="327" t="str">
        <f>IFERROR(Project.17&amp;" "&amp;WP.17&amp;" "&amp;Contract.17&amp;" "&amp;Type.17&amp;" "&amp;Activity.17," ")</f>
        <v xml:space="preserve">    </v>
      </c>
      <c r="C20" s="327"/>
      <c r="D20" s="88"/>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9">
        <f t="shared" si="2"/>
        <v>0</v>
      </c>
      <c r="AJ20" s="185" t="str">
        <f t="shared" si="3"/>
        <v/>
      </c>
      <c r="AK20" s="188"/>
      <c r="AL20" s="119"/>
    </row>
    <row r="21" spans="2:41" s="64" customFormat="1" ht="17.149999999999999" customHeight="1">
      <c r="B21" s="327" t="str">
        <f>IFERROR(Project.18&amp;" "&amp;WP.18&amp;" "&amp;Contract.18&amp;" "&amp;Type.18&amp;" "&amp;Activity.18," ")</f>
        <v xml:space="preserve">    </v>
      </c>
      <c r="C21" s="327"/>
      <c r="D21" s="88"/>
      <c r="E21" s="88"/>
      <c r="F21" s="88"/>
      <c r="G21" s="88"/>
      <c r="H21" s="88"/>
      <c r="I21" s="88"/>
      <c r="J21" s="88"/>
      <c r="K21" s="88"/>
      <c r="L21" s="88"/>
      <c r="M21" s="88"/>
      <c r="N21" s="88"/>
      <c r="O21" s="88"/>
      <c r="P21" s="88"/>
      <c r="Q21" s="88"/>
      <c r="R21" s="88"/>
      <c r="S21" s="88"/>
      <c r="T21" s="88"/>
      <c r="U21" s="88"/>
      <c r="V21" s="88"/>
      <c r="W21" s="88"/>
      <c r="X21" s="88"/>
      <c r="Y21" s="88"/>
      <c r="Z21" s="88"/>
      <c r="AA21" s="88"/>
      <c r="AB21" s="88"/>
      <c r="AC21" s="88"/>
      <c r="AD21" s="88"/>
      <c r="AE21" s="88"/>
      <c r="AF21" s="88"/>
      <c r="AG21" s="88"/>
      <c r="AH21" s="88"/>
      <c r="AI21" s="89">
        <f t="shared" si="2"/>
        <v>0</v>
      </c>
      <c r="AJ21" s="185" t="str">
        <f t="shared" si="3"/>
        <v/>
      </c>
      <c r="AK21" s="188"/>
      <c r="AL21" s="119"/>
    </row>
    <row r="22" spans="2:41" s="64" customFormat="1" ht="17.149999999999999" customHeight="1">
      <c r="B22" s="327" t="str">
        <f>IFERROR(Project.19&amp;" "&amp;WP.19&amp;" "&amp;Contract.19&amp;" "&amp;Type.19&amp;" "&amp;Activity.19," ")</f>
        <v xml:space="preserve">    </v>
      </c>
      <c r="C22" s="327"/>
      <c r="D22" s="88"/>
      <c r="E22" s="88"/>
      <c r="F22" s="88"/>
      <c r="G22" s="88"/>
      <c r="H22" s="88"/>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9">
        <f t="shared" si="2"/>
        <v>0</v>
      </c>
      <c r="AJ22" s="185" t="str">
        <f t="shared" si="3"/>
        <v/>
      </c>
      <c r="AK22" s="188"/>
      <c r="AL22" s="119"/>
    </row>
    <row r="23" spans="2:41" s="64" customFormat="1" ht="17.149999999999999" customHeight="1">
      <c r="B23" s="328" t="str">
        <f>IFERROR(Project.20&amp;" "&amp;WP.20&amp;" "&amp;Contract.20&amp;" "&amp;Type.20&amp;" "&amp;Activity.20," ")</f>
        <v xml:space="preserve">OTHER HOURS WORKED    </v>
      </c>
      <c r="C23" s="328"/>
      <c r="D23" s="88"/>
      <c r="E23" s="88"/>
      <c r="F23" s="88"/>
      <c r="G23" s="88"/>
      <c r="H23" s="88"/>
      <c r="I23" s="88"/>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9">
        <f t="shared" si="2"/>
        <v>0</v>
      </c>
      <c r="AJ23" s="185" t="str">
        <f t="shared" si="3"/>
        <v/>
      </c>
      <c r="AK23" s="188"/>
      <c r="AL23" s="119"/>
    </row>
    <row r="24" spans="2:41" s="64" customFormat="1" ht="17.149999999999999" customHeight="1">
      <c r="B24" s="207" t="s">
        <v>239</v>
      </c>
      <c r="C24" s="81"/>
      <c r="D24" s="208"/>
      <c r="E24" s="208"/>
      <c r="F24" s="208"/>
      <c r="G24" s="208"/>
      <c r="H24" s="208"/>
      <c r="I24" s="208"/>
      <c r="J24" s="208"/>
      <c r="K24" s="208"/>
      <c r="L24" s="208"/>
      <c r="M24" s="208"/>
      <c r="N24" s="208"/>
      <c r="O24" s="208"/>
      <c r="P24" s="208"/>
      <c r="Q24" s="208"/>
      <c r="R24" s="208"/>
      <c r="S24" s="208"/>
      <c r="T24" s="208"/>
      <c r="U24" s="208"/>
      <c r="V24" s="208"/>
      <c r="W24" s="208"/>
      <c r="X24" s="208"/>
      <c r="Y24" s="208"/>
      <c r="Z24" s="208"/>
      <c r="AA24" s="208"/>
      <c r="AB24" s="208"/>
      <c r="AC24" s="208"/>
      <c r="AD24" s="208"/>
      <c r="AE24" s="208"/>
      <c r="AF24" s="208"/>
      <c r="AG24" s="208"/>
      <c r="AH24" s="208"/>
      <c r="AI24" s="148">
        <f t="shared" ref="AI24" si="4">SUM(D24:AH24)</f>
        <v>0</v>
      </c>
      <c r="AJ24" s="149" t="str">
        <f>IFERROR(AI24/$AI$28,"")</f>
        <v/>
      </c>
      <c r="AK24" s="188"/>
      <c r="AL24" s="119"/>
    </row>
    <row r="25" spans="2:41" s="65" customFormat="1" ht="17.149999999999999" customHeight="1">
      <c r="B25" s="83" t="s">
        <v>56</v>
      </c>
      <c r="C25" s="84"/>
      <c r="D25" s="91">
        <f>D26</f>
        <v>0</v>
      </c>
      <c r="E25" s="91">
        <f t="shared" ref="E25:AH25" si="5">E26</f>
        <v>0</v>
      </c>
      <c r="F25" s="91">
        <f t="shared" si="5"/>
        <v>0</v>
      </c>
      <c r="G25" s="91">
        <f t="shared" si="5"/>
        <v>0</v>
      </c>
      <c r="H25" s="91">
        <f t="shared" si="5"/>
        <v>0</v>
      </c>
      <c r="I25" s="91">
        <f t="shared" si="5"/>
        <v>0</v>
      </c>
      <c r="J25" s="91">
        <f t="shared" si="5"/>
        <v>0</v>
      </c>
      <c r="K25" s="91">
        <f t="shared" si="5"/>
        <v>0</v>
      </c>
      <c r="L25" s="91">
        <f t="shared" si="5"/>
        <v>0</v>
      </c>
      <c r="M25" s="91">
        <f t="shared" si="5"/>
        <v>0</v>
      </c>
      <c r="N25" s="91">
        <f t="shared" si="5"/>
        <v>0</v>
      </c>
      <c r="O25" s="91">
        <f t="shared" si="5"/>
        <v>0</v>
      </c>
      <c r="P25" s="91">
        <f t="shared" si="5"/>
        <v>0</v>
      </c>
      <c r="Q25" s="91">
        <f t="shared" si="5"/>
        <v>0</v>
      </c>
      <c r="R25" s="91">
        <f t="shared" si="5"/>
        <v>0</v>
      </c>
      <c r="S25" s="91">
        <f t="shared" si="5"/>
        <v>0</v>
      </c>
      <c r="T25" s="91">
        <f t="shared" si="5"/>
        <v>0</v>
      </c>
      <c r="U25" s="91">
        <f t="shared" si="5"/>
        <v>0</v>
      </c>
      <c r="V25" s="91">
        <f t="shared" si="5"/>
        <v>0</v>
      </c>
      <c r="W25" s="91">
        <f t="shared" si="5"/>
        <v>0</v>
      </c>
      <c r="X25" s="91">
        <f t="shared" si="5"/>
        <v>0</v>
      </c>
      <c r="Y25" s="91">
        <f t="shared" si="5"/>
        <v>0</v>
      </c>
      <c r="Z25" s="91">
        <f t="shared" si="5"/>
        <v>0</v>
      </c>
      <c r="AA25" s="91">
        <f t="shared" si="5"/>
        <v>0</v>
      </c>
      <c r="AB25" s="91">
        <f t="shared" si="5"/>
        <v>0</v>
      </c>
      <c r="AC25" s="91">
        <f t="shared" si="5"/>
        <v>0</v>
      </c>
      <c r="AD25" s="91">
        <f t="shared" si="5"/>
        <v>0</v>
      </c>
      <c r="AE25" s="91">
        <f t="shared" si="5"/>
        <v>0</v>
      </c>
      <c r="AF25" s="91">
        <f t="shared" si="5"/>
        <v>0</v>
      </c>
      <c r="AG25" s="91">
        <f t="shared" si="5"/>
        <v>0</v>
      </c>
      <c r="AH25" s="91">
        <f t="shared" si="5"/>
        <v>0</v>
      </c>
      <c r="AI25" s="92"/>
      <c r="AJ25" s="82"/>
      <c r="AK25" s="64"/>
      <c r="AL25" s="64"/>
      <c r="AM25" s="64"/>
      <c r="AN25" s="64"/>
      <c r="AO25" s="64"/>
    </row>
    <row r="26" spans="2:41" s="64" customFormat="1" ht="17.149999999999999" customHeight="1">
      <c r="B26" s="318" t="s">
        <v>4</v>
      </c>
      <c r="C26" s="319"/>
      <c r="D26" s="93">
        <f t="shared" ref="D26:AH26" si="6">SUM(D4:D23)</f>
        <v>0</v>
      </c>
      <c r="E26" s="93">
        <f t="shared" si="6"/>
        <v>0</v>
      </c>
      <c r="F26" s="93">
        <f t="shared" si="6"/>
        <v>0</v>
      </c>
      <c r="G26" s="93">
        <f t="shared" si="6"/>
        <v>0</v>
      </c>
      <c r="H26" s="93">
        <f t="shared" si="6"/>
        <v>0</v>
      </c>
      <c r="I26" s="93">
        <f t="shared" si="6"/>
        <v>0</v>
      </c>
      <c r="J26" s="93">
        <f t="shared" si="6"/>
        <v>0</v>
      </c>
      <c r="K26" s="93">
        <f t="shared" si="6"/>
        <v>0</v>
      </c>
      <c r="L26" s="93">
        <f t="shared" si="6"/>
        <v>0</v>
      </c>
      <c r="M26" s="93">
        <f t="shared" si="6"/>
        <v>0</v>
      </c>
      <c r="N26" s="93">
        <f t="shared" si="6"/>
        <v>0</v>
      </c>
      <c r="O26" s="93">
        <f t="shared" si="6"/>
        <v>0</v>
      </c>
      <c r="P26" s="93">
        <f t="shared" si="6"/>
        <v>0</v>
      </c>
      <c r="Q26" s="93">
        <f t="shared" si="6"/>
        <v>0</v>
      </c>
      <c r="R26" s="93">
        <f t="shared" si="6"/>
        <v>0</v>
      </c>
      <c r="S26" s="93">
        <f t="shared" si="6"/>
        <v>0</v>
      </c>
      <c r="T26" s="93">
        <f t="shared" si="6"/>
        <v>0</v>
      </c>
      <c r="U26" s="93">
        <f t="shared" si="6"/>
        <v>0</v>
      </c>
      <c r="V26" s="93">
        <f t="shared" si="6"/>
        <v>0</v>
      </c>
      <c r="W26" s="93">
        <f t="shared" si="6"/>
        <v>0</v>
      </c>
      <c r="X26" s="93">
        <f t="shared" si="6"/>
        <v>0</v>
      </c>
      <c r="Y26" s="93">
        <f t="shared" si="6"/>
        <v>0</v>
      </c>
      <c r="Z26" s="93">
        <f t="shared" si="6"/>
        <v>0</v>
      </c>
      <c r="AA26" s="93">
        <f t="shared" si="6"/>
        <v>0</v>
      </c>
      <c r="AB26" s="93">
        <f t="shared" si="6"/>
        <v>0</v>
      </c>
      <c r="AC26" s="93">
        <f t="shared" si="6"/>
        <v>0</v>
      </c>
      <c r="AD26" s="93">
        <f t="shared" si="6"/>
        <v>0</v>
      </c>
      <c r="AE26" s="93">
        <f t="shared" si="6"/>
        <v>0</v>
      </c>
      <c r="AF26" s="93">
        <f t="shared" si="6"/>
        <v>0</v>
      </c>
      <c r="AG26" s="93">
        <f t="shared" si="6"/>
        <v>0</v>
      </c>
      <c r="AH26" s="93">
        <f t="shared" si="6"/>
        <v>0</v>
      </c>
      <c r="AI26" s="94">
        <f>SUM(D26:AH26)</f>
        <v>0</v>
      </c>
      <c r="AJ26" s="82"/>
    </row>
    <row r="27" spans="2:41" s="65" customFormat="1" ht="17.149999999999999" customHeight="1">
      <c r="B27" s="83" t="s">
        <v>56</v>
      </c>
      <c r="C27" s="84"/>
      <c r="D27" s="91"/>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2"/>
      <c r="AJ27" s="84"/>
      <c r="AK27" s="64"/>
      <c r="AL27" s="64"/>
      <c r="AM27" s="64"/>
      <c r="AN27" s="64"/>
      <c r="AO27" s="64"/>
    </row>
    <row r="28" spans="2:41" s="64" customFormat="1" ht="17.149999999999999" customHeight="1">
      <c r="B28" s="318" t="s">
        <v>5</v>
      </c>
      <c r="C28" s="319"/>
      <c r="D28" s="93">
        <f>SUM(D4:D24)</f>
        <v>0</v>
      </c>
      <c r="E28" s="93">
        <f t="shared" ref="E28:AH28" si="7">SUM(E4:E24)</f>
        <v>0</v>
      </c>
      <c r="F28" s="93">
        <f t="shared" si="7"/>
        <v>0</v>
      </c>
      <c r="G28" s="93">
        <f t="shared" si="7"/>
        <v>0</v>
      </c>
      <c r="H28" s="93">
        <f t="shared" si="7"/>
        <v>0</v>
      </c>
      <c r="I28" s="93">
        <f t="shared" si="7"/>
        <v>0</v>
      </c>
      <c r="J28" s="93">
        <f t="shared" si="7"/>
        <v>0</v>
      </c>
      <c r="K28" s="93">
        <f t="shared" si="7"/>
        <v>0</v>
      </c>
      <c r="L28" s="93">
        <f t="shared" si="7"/>
        <v>0</v>
      </c>
      <c r="M28" s="93">
        <f t="shared" si="7"/>
        <v>0</v>
      </c>
      <c r="N28" s="93">
        <f t="shared" si="7"/>
        <v>0</v>
      </c>
      <c r="O28" s="93">
        <f t="shared" si="7"/>
        <v>0</v>
      </c>
      <c r="P28" s="93">
        <f t="shared" si="7"/>
        <v>0</v>
      </c>
      <c r="Q28" s="93">
        <f t="shared" si="7"/>
        <v>0</v>
      </c>
      <c r="R28" s="93">
        <f t="shared" si="7"/>
        <v>0</v>
      </c>
      <c r="S28" s="93">
        <f t="shared" si="7"/>
        <v>0</v>
      </c>
      <c r="T28" s="93">
        <f t="shared" si="7"/>
        <v>0</v>
      </c>
      <c r="U28" s="93">
        <f t="shared" si="7"/>
        <v>0</v>
      </c>
      <c r="V28" s="93">
        <f t="shared" si="7"/>
        <v>0</v>
      </c>
      <c r="W28" s="93">
        <f t="shared" si="7"/>
        <v>0</v>
      </c>
      <c r="X28" s="93">
        <f t="shared" si="7"/>
        <v>0</v>
      </c>
      <c r="Y28" s="93">
        <f t="shared" si="7"/>
        <v>0</v>
      </c>
      <c r="Z28" s="93">
        <f t="shared" si="7"/>
        <v>0</v>
      </c>
      <c r="AA28" s="93">
        <f t="shared" si="7"/>
        <v>0</v>
      </c>
      <c r="AB28" s="93">
        <f t="shared" si="7"/>
        <v>0</v>
      </c>
      <c r="AC28" s="93">
        <f t="shared" si="7"/>
        <v>0</v>
      </c>
      <c r="AD28" s="93">
        <f t="shared" si="7"/>
        <v>0</v>
      </c>
      <c r="AE28" s="93">
        <f t="shared" si="7"/>
        <v>0</v>
      </c>
      <c r="AF28" s="93">
        <f t="shared" si="7"/>
        <v>0</v>
      </c>
      <c r="AG28" s="93">
        <f t="shared" si="7"/>
        <v>0</v>
      </c>
      <c r="AH28" s="93">
        <f t="shared" si="7"/>
        <v>0</v>
      </c>
      <c r="AI28" s="94">
        <f>SUM(D28:AH28)</f>
        <v>0</v>
      </c>
      <c r="AJ28" s="82"/>
    </row>
    <row r="29" spans="2:41" ht="17.25" customHeight="1">
      <c r="B29" s="53" t="s">
        <v>56</v>
      </c>
      <c r="C29" s="54"/>
      <c r="D29" s="47"/>
      <c r="E29" s="47"/>
      <c r="F29" s="47"/>
      <c r="G29" s="47"/>
      <c r="H29" s="47"/>
      <c r="I29" s="47"/>
      <c r="J29" s="47"/>
      <c r="K29" s="47"/>
      <c r="L29" s="47"/>
      <c r="M29" s="47"/>
      <c r="N29" s="47"/>
      <c r="O29" s="47"/>
      <c r="P29" s="47"/>
      <c r="Q29" s="47"/>
      <c r="R29" s="47"/>
      <c r="S29" s="47"/>
      <c r="T29" s="47"/>
      <c r="U29" s="47"/>
      <c r="V29" s="55"/>
      <c r="W29" s="55"/>
      <c r="X29" s="55"/>
      <c r="Y29" s="55"/>
      <c r="Z29" s="55"/>
      <c r="AA29" s="55"/>
      <c r="AB29" s="55"/>
      <c r="AC29" s="55"/>
      <c r="AD29" s="55"/>
      <c r="AE29" s="55"/>
      <c r="AF29" s="55"/>
      <c r="AG29" s="55"/>
      <c r="AH29" s="55"/>
      <c r="AI29" s="56"/>
      <c r="AJ29" s="11"/>
    </row>
    <row r="30" spans="2:41" ht="17.25" customHeight="1">
      <c r="B30" s="101" t="s">
        <v>8</v>
      </c>
      <c r="C30" s="102"/>
      <c r="D30" s="102"/>
      <c r="E30" s="102"/>
      <c r="F30" s="102"/>
      <c r="G30" s="103" t="s">
        <v>9</v>
      </c>
      <c r="H30" s="102"/>
      <c r="I30" s="11"/>
      <c r="J30" s="57"/>
      <c r="K30" s="11"/>
      <c r="L30" s="75"/>
      <c r="M30" s="11"/>
      <c r="N30" s="11"/>
      <c r="O30" s="11"/>
      <c r="P30" s="11"/>
      <c r="Q30" s="331" t="str">
        <f>'Start page'!D30</f>
        <v>• Missing information – Enter Project Acronym/name</v>
      </c>
      <c r="R30" s="331"/>
      <c r="S30" s="331"/>
      <c r="T30" s="331"/>
      <c r="U30" s="331"/>
      <c r="V30" s="331"/>
      <c r="W30" s="331"/>
      <c r="X30" s="331"/>
      <c r="Y30" s="331"/>
      <c r="Z30" s="331"/>
      <c r="AA30" s="331"/>
      <c r="AB30" s="331"/>
      <c r="AC30" s="331"/>
      <c r="AD30" s="331"/>
      <c r="AE30" s="331"/>
      <c r="AF30" s="331"/>
      <c r="AG30" s="331"/>
      <c r="AH30" s="331"/>
      <c r="AI30" s="331"/>
      <c r="AJ30" s="58"/>
    </row>
    <row r="31" spans="2:41" ht="15.5">
      <c r="B31" s="104" t="s">
        <v>56</v>
      </c>
      <c r="C31" s="95"/>
      <c r="D31" s="95"/>
      <c r="E31" s="95"/>
      <c r="F31" s="102"/>
      <c r="G31" s="95"/>
      <c r="H31" s="95"/>
      <c r="I31" s="11"/>
      <c r="J31" s="47"/>
      <c r="K31" s="47"/>
      <c r="L31" s="76"/>
      <c r="M31" s="47"/>
      <c r="N31" s="47"/>
      <c r="O31" s="47"/>
      <c r="P31" s="47"/>
      <c r="Q31" s="331"/>
      <c r="R31" s="331"/>
      <c r="S31" s="331"/>
      <c r="T31" s="331"/>
      <c r="U31" s="331"/>
      <c r="V31" s="331"/>
      <c r="W31" s="331"/>
      <c r="X31" s="331"/>
      <c r="Y31" s="331"/>
      <c r="Z31" s="331"/>
      <c r="AA31" s="331"/>
      <c r="AB31" s="331"/>
      <c r="AC31" s="331"/>
      <c r="AD31" s="331"/>
      <c r="AE31" s="331"/>
      <c r="AF31" s="331"/>
      <c r="AG31" s="331"/>
      <c r="AH31" s="331"/>
      <c r="AI31" s="331"/>
      <c r="AJ31" s="325" t="s">
        <v>230</v>
      </c>
      <c r="AK31" s="326"/>
    </row>
    <row r="32" spans="2:41" ht="15.5">
      <c r="B32" s="105" t="s">
        <v>56</v>
      </c>
      <c r="C32" s="106"/>
      <c r="D32" s="106"/>
      <c r="E32" s="95"/>
      <c r="F32" s="102"/>
      <c r="G32" s="106"/>
      <c r="H32" s="107"/>
      <c r="I32" s="61"/>
      <c r="J32" s="61"/>
      <c r="K32" s="61"/>
      <c r="L32" s="61"/>
      <c r="M32" s="61"/>
      <c r="N32" s="61"/>
      <c r="O32" s="47"/>
      <c r="P32" s="47"/>
      <c r="Q32" s="65"/>
      <c r="R32" s="65"/>
      <c r="S32" s="47"/>
      <c r="T32" s="47"/>
      <c r="U32" s="47"/>
      <c r="V32" s="47"/>
      <c r="W32" s="47"/>
      <c r="X32" s="316"/>
      <c r="Y32" s="316"/>
      <c r="Z32" s="316"/>
      <c r="AA32" s="316"/>
      <c r="AB32" s="317"/>
      <c r="AC32" s="317"/>
      <c r="AD32" s="58"/>
      <c r="AE32" s="316"/>
      <c r="AF32" s="316"/>
      <c r="AG32" s="316"/>
      <c r="AH32" s="316"/>
      <c r="AI32" s="77"/>
      <c r="AJ32" s="195">
        <v>1</v>
      </c>
      <c r="AK32" s="196" t="s">
        <v>234</v>
      </c>
    </row>
    <row r="33" spans="2:37" ht="15.5">
      <c r="B33" s="108">
        <f>Member</f>
        <v>0</v>
      </c>
      <c r="C33" s="95"/>
      <c r="D33" s="95"/>
      <c r="E33" s="95"/>
      <c r="F33" s="102"/>
      <c r="G33" s="95">
        <f>Supervisor</f>
        <v>0</v>
      </c>
      <c r="H33" s="102"/>
      <c r="I33" s="11"/>
      <c r="J33" s="47"/>
      <c r="K33" s="47"/>
      <c r="L33" s="47"/>
      <c r="M33" s="47"/>
      <c r="N33" s="47"/>
      <c r="O33" s="47"/>
      <c r="P33" s="47"/>
      <c r="Q33" s="331" t="str">
        <f>'Start page'!D6</f>
        <v>• Missing information – Fill in all names and title/function on the Start Page</v>
      </c>
      <c r="R33" s="331"/>
      <c r="S33" s="331"/>
      <c r="T33" s="331"/>
      <c r="U33" s="331"/>
      <c r="V33" s="331"/>
      <c r="W33" s="331"/>
      <c r="X33" s="331"/>
      <c r="Y33" s="331"/>
      <c r="Z33" s="331"/>
      <c r="AA33" s="331"/>
      <c r="AB33" s="331"/>
      <c r="AC33" s="331"/>
      <c r="AD33" s="331"/>
      <c r="AE33" s="331"/>
      <c r="AF33" s="331"/>
      <c r="AG33" s="331"/>
      <c r="AH33" s="331"/>
      <c r="AI33" s="331"/>
      <c r="AJ33" s="197">
        <v>2</v>
      </c>
      <c r="AK33" s="198" t="s">
        <v>231</v>
      </c>
    </row>
    <row r="34" spans="2:37" ht="18.75" customHeight="1">
      <c r="B34" s="109">
        <f>Title.member</f>
        <v>0</v>
      </c>
      <c r="C34" s="102"/>
      <c r="D34" s="95"/>
      <c r="E34" s="102"/>
      <c r="F34" s="102"/>
      <c r="G34" s="102">
        <f>Title.supervisor</f>
        <v>0</v>
      </c>
      <c r="H34" s="95"/>
      <c r="I34" s="11"/>
      <c r="J34" s="60"/>
      <c r="K34" s="11"/>
      <c r="L34" s="11"/>
      <c r="M34" s="11"/>
      <c r="N34" s="11"/>
      <c r="O34" s="47"/>
      <c r="P34" s="47"/>
      <c r="Q34" s="65"/>
      <c r="R34" s="65"/>
      <c r="S34" s="47"/>
      <c r="T34" s="47"/>
      <c r="U34" s="47"/>
      <c r="V34" s="47"/>
      <c r="W34" s="47"/>
      <c r="X34" s="179"/>
      <c r="Y34" s="179"/>
      <c r="Z34" s="179"/>
      <c r="AA34" s="179"/>
      <c r="AB34" s="180"/>
      <c r="AC34" s="180"/>
      <c r="AD34" s="58"/>
      <c r="AE34" s="181"/>
      <c r="AF34" s="181"/>
      <c r="AG34" s="181"/>
      <c r="AH34" s="181"/>
      <c r="AI34" s="59"/>
      <c r="AJ34" s="62"/>
    </row>
    <row r="35" spans="2:37" ht="18.75" customHeight="1">
      <c r="B35" s="109" t="s">
        <v>72</v>
      </c>
      <c r="C35" s="102"/>
      <c r="D35" s="95"/>
      <c r="E35" s="102"/>
      <c r="F35" s="102"/>
      <c r="G35" s="102" t="s">
        <v>73</v>
      </c>
      <c r="H35" s="95"/>
      <c r="I35" s="11"/>
      <c r="J35" s="60"/>
      <c r="K35" s="11"/>
      <c r="L35" s="11"/>
      <c r="M35" s="11"/>
      <c r="N35" s="11"/>
      <c r="O35" s="47"/>
      <c r="P35" s="47"/>
      <c r="Q35" s="65"/>
      <c r="R35" s="65"/>
      <c r="S35" s="47"/>
      <c r="T35" s="47"/>
      <c r="U35" s="47"/>
      <c r="V35" s="47"/>
      <c r="W35" s="47"/>
      <c r="X35" s="316"/>
      <c r="Y35" s="316"/>
      <c r="Z35" s="316"/>
      <c r="AA35" s="316"/>
      <c r="AB35" s="317"/>
      <c r="AC35" s="317"/>
      <c r="AD35" s="58"/>
      <c r="AE35" s="320"/>
      <c r="AF35" s="320"/>
      <c r="AG35" s="320"/>
      <c r="AH35" s="320"/>
      <c r="AI35" s="59"/>
      <c r="AJ35" s="62"/>
    </row>
    <row r="36" spans="2:37" ht="12" customHeight="1">
      <c r="B36" s="109"/>
      <c r="C36" s="102"/>
      <c r="D36" s="95"/>
      <c r="E36" s="102"/>
      <c r="F36" s="102"/>
      <c r="G36" s="102"/>
      <c r="H36" s="95"/>
      <c r="I36" s="11"/>
      <c r="J36" s="60"/>
      <c r="K36" s="11"/>
      <c r="L36" s="11"/>
      <c r="M36" s="11"/>
      <c r="N36" s="11"/>
      <c r="O36" s="47"/>
      <c r="P36" s="47"/>
      <c r="Q36" s="65"/>
      <c r="R36" s="65"/>
      <c r="S36" s="47"/>
      <c r="T36" s="47"/>
      <c r="U36" s="47"/>
      <c r="V36" s="47"/>
      <c r="W36" s="47"/>
      <c r="X36" s="77"/>
      <c r="Y36" s="77"/>
      <c r="Z36" s="77"/>
      <c r="AA36" s="77"/>
      <c r="AB36" s="78"/>
      <c r="AC36" s="78"/>
      <c r="AD36" s="58"/>
      <c r="AE36" s="79"/>
      <c r="AF36" s="79"/>
      <c r="AG36" s="79"/>
      <c r="AH36" s="79"/>
      <c r="AI36" s="59"/>
      <c r="AJ36" s="62"/>
    </row>
    <row r="37" spans="2:37" ht="23.25" customHeight="1">
      <c r="B37" s="105" t="s">
        <v>56</v>
      </c>
      <c r="C37" s="95"/>
      <c r="D37" s="106"/>
      <c r="E37" s="102"/>
      <c r="F37" s="102"/>
      <c r="G37" s="106"/>
      <c r="H37" s="110" t="s">
        <v>56</v>
      </c>
      <c r="I37" s="61"/>
      <c r="J37" s="61"/>
      <c r="K37" s="61"/>
      <c r="L37" s="61"/>
      <c r="M37" s="61"/>
      <c r="N37" s="61"/>
      <c r="O37" s="47"/>
      <c r="P37" s="47"/>
      <c r="Q37" s="331" t="str">
        <f>'Start page'!D29</f>
        <v/>
      </c>
      <c r="R37" s="331"/>
      <c r="S37" s="331"/>
      <c r="T37" s="331"/>
      <c r="U37" s="331"/>
      <c r="V37" s="331"/>
      <c r="W37" s="331"/>
      <c r="X37" s="331"/>
      <c r="Y37" s="331"/>
      <c r="Z37" s="331"/>
      <c r="AA37" s="331"/>
      <c r="AB37" s="331"/>
      <c r="AC37" s="331"/>
      <c r="AD37" s="331"/>
      <c r="AE37" s="331"/>
      <c r="AF37" s="331"/>
      <c r="AG37" s="331"/>
      <c r="AH37" s="331"/>
      <c r="AI37" s="331"/>
      <c r="AJ37" s="47"/>
    </row>
    <row r="38" spans="2:37" ht="19.5" customHeight="1">
      <c r="B38" s="108" t="s">
        <v>1</v>
      </c>
      <c r="C38" s="108"/>
      <c r="D38" s="95"/>
      <c r="E38" s="102"/>
      <c r="F38" s="102"/>
      <c r="G38" s="95" t="s">
        <v>1</v>
      </c>
      <c r="H38" s="102"/>
      <c r="I38" s="47"/>
      <c r="J38" s="47"/>
      <c r="K38" s="47"/>
      <c r="L38" s="47"/>
      <c r="M38" s="47"/>
      <c r="N38" s="47"/>
      <c r="O38" s="47"/>
      <c r="P38" s="47"/>
      <c r="Q38" s="47"/>
      <c r="R38" s="65"/>
      <c r="S38" s="47"/>
      <c r="T38" s="47"/>
      <c r="U38" s="47"/>
      <c r="V38" s="47"/>
      <c r="W38" s="77"/>
      <c r="X38" s="77"/>
      <c r="Y38" s="77"/>
      <c r="Z38" s="77"/>
      <c r="AA38" s="79"/>
      <c r="AB38" s="79"/>
      <c r="AC38" s="77"/>
      <c r="AD38" s="77"/>
      <c r="AE38" s="77"/>
      <c r="AF38" s="77"/>
      <c r="AG38" s="77"/>
      <c r="AH38" s="77"/>
      <c r="AI38" s="47"/>
      <c r="AJ38" s="11"/>
    </row>
    <row r="39" spans="2:37" ht="14.5">
      <c r="B39" s="37" t="s">
        <v>56</v>
      </c>
      <c r="C39" s="37">
        <f>ROW()</f>
        <v>39</v>
      </c>
      <c r="D39" s="64"/>
      <c r="E39" s="64"/>
      <c r="F39" s="64"/>
      <c r="G39" s="64"/>
      <c r="H39" s="64"/>
      <c r="I39" s="64"/>
      <c r="J39" s="64"/>
      <c r="K39" s="64"/>
      <c r="L39" s="64"/>
      <c r="M39" s="64"/>
      <c r="N39" s="64"/>
      <c r="O39" s="64"/>
      <c r="P39" s="65"/>
      <c r="Q39" s="65"/>
      <c r="R39" s="65"/>
      <c r="S39" s="65"/>
      <c r="T39" s="65"/>
      <c r="U39" s="65"/>
      <c r="V39" s="65"/>
      <c r="W39" s="65"/>
      <c r="X39" s="65"/>
      <c r="Y39" s="65"/>
      <c r="Z39" s="65"/>
      <c r="AA39" s="65"/>
      <c r="AB39" s="65"/>
      <c r="AC39" s="314"/>
      <c r="AD39" s="322"/>
      <c r="AE39" s="322"/>
      <c r="AF39" s="322"/>
      <c r="AG39" s="322"/>
      <c r="AH39" s="322"/>
      <c r="AI39" s="65"/>
    </row>
    <row r="40" spans="2:37" ht="14.5">
      <c r="P40" s="34"/>
      <c r="Q40" s="34"/>
      <c r="R40" s="34"/>
      <c r="S40" s="34"/>
      <c r="T40" s="34"/>
      <c r="U40" s="34"/>
      <c r="V40" s="34"/>
      <c r="W40" s="34"/>
      <c r="X40" s="34"/>
      <c r="Y40" s="34"/>
      <c r="Z40" s="34"/>
      <c r="AA40" s="34"/>
      <c r="AB40" s="34"/>
      <c r="AC40" s="323"/>
      <c r="AD40" s="324"/>
      <c r="AE40" s="324"/>
      <c r="AF40" s="324"/>
      <c r="AG40" s="324"/>
      <c r="AH40" s="324"/>
      <c r="AI40" s="34"/>
    </row>
    <row r="41" spans="2:37" ht="14.5">
      <c r="B41" s="306" t="s">
        <v>235</v>
      </c>
      <c r="C41" s="307"/>
      <c r="D41" s="307"/>
      <c r="E41" s="307"/>
      <c r="F41" s="307"/>
      <c r="G41" s="308"/>
      <c r="H41" s="308"/>
      <c r="I41" s="309"/>
      <c r="J41" s="309"/>
      <c r="K41" s="309"/>
      <c r="L41" s="309"/>
      <c r="M41" s="309"/>
      <c r="N41" s="309"/>
      <c r="O41" s="310"/>
      <c r="P41" s="34"/>
      <c r="Q41" s="34"/>
      <c r="R41" s="34"/>
      <c r="S41" s="34"/>
      <c r="T41" s="34"/>
      <c r="U41" s="34"/>
      <c r="V41" s="34"/>
      <c r="W41" s="34"/>
      <c r="X41" s="34"/>
      <c r="Y41" s="34"/>
      <c r="Z41" s="34"/>
      <c r="AA41" s="34"/>
      <c r="AB41" s="34"/>
      <c r="AC41" s="314"/>
      <c r="AD41" s="315"/>
      <c r="AE41" s="315"/>
      <c r="AF41" s="315"/>
      <c r="AG41" s="315"/>
      <c r="AH41" s="315"/>
      <c r="AI41" s="34"/>
    </row>
    <row r="42" spans="2:37" ht="14.5">
      <c r="B42" s="311"/>
      <c r="C42" s="312"/>
      <c r="D42" s="312"/>
      <c r="E42" s="312"/>
      <c r="F42" s="312"/>
      <c r="G42" s="312"/>
      <c r="H42" s="312"/>
      <c r="I42" s="312"/>
      <c r="J42" s="312"/>
      <c r="K42" s="312"/>
      <c r="L42" s="312"/>
      <c r="M42" s="312"/>
      <c r="N42" s="312"/>
      <c r="O42" s="313"/>
      <c r="P42" s="34"/>
      <c r="Q42" s="34"/>
      <c r="R42" s="34"/>
      <c r="S42" s="34"/>
      <c r="T42" s="34"/>
      <c r="U42" s="34"/>
      <c r="V42" s="34"/>
      <c r="W42" s="34"/>
      <c r="X42" s="34"/>
      <c r="Y42" s="34"/>
      <c r="Z42" s="34"/>
      <c r="AA42" s="34"/>
      <c r="AB42" s="34"/>
      <c r="AC42" s="314"/>
      <c r="AD42" s="315"/>
      <c r="AE42" s="315"/>
      <c r="AF42" s="315"/>
      <c r="AG42" s="315"/>
      <c r="AH42" s="315"/>
      <c r="AI42" s="34"/>
    </row>
    <row r="43" spans="2:37" ht="14.5">
      <c r="P43" s="34"/>
      <c r="Q43" s="34"/>
      <c r="R43" s="34"/>
      <c r="S43" s="34"/>
      <c r="T43" s="34"/>
      <c r="U43" s="34"/>
      <c r="V43" s="34"/>
      <c r="W43" s="34"/>
      <c r="X43" s="34"/>
      <c r="Y43" s="34"/>
      <c r="Z43" s="34"/>
      <c r="AA43" s="34"/>
      <c r="AB43" s="34"/>
      <c r="AC43" s="34"/>
      <c r="AD43" s="34"/>
      <c r="AE43" s="34"/>
      <c r="AF43" s="34"/>
      <c r="AG43" s="34"/>
      <c r="AH43" s="34"/>
      <c r="AI43" s="34"/>
    </row>
    <row r="44" spans="2:37" ht="14.5">
      <c r="P44" s="34"/>
      <c r="Q44" s="34"/>
      <c r="R44" s="34"/>
      <c r="S44" s="34"/>
      <c r="T44" s="34"/>
      <c r="U44" s="34"/>
      <c r="V44" s="34"/>
      <c r="W44" s="34"/>
      <c r="X44" s="34"/>
      <c r="Y44" s="34"/>
      <c r="Z44" s="34"/>
      <c r="AA44" s="34"/>
      <c r="AB44" s="34"/>
      <c r="AC44" s="34"/>
      <c r="AD44" s="34"/>
      <c r="AE44" s="34"/>
      <c r="AF44" s="34"/>
      <c r="AG44" s="34"/>
      <c r="AH44" s="34"/>
      <c r="AI44" s="34"/>
    </row>
    <row r="45" spans="2:37" ht="14.5"/>
    <row r="46" spans="2:37" ht="14.5"/>
    <row r="47" spans="2:37" ht="14.5"/>
    <row r="48" spans="2:37" ht="14.5"/>
    <row r="49" ht="14.5"/>
    <row r="50" ht="14.5"/>
    <row r="51" ht="14.5"/>
    <row r="52" ht="14.5"/>
    <row r="53" ht="14.5"/>
    <row r="54" ht="14.5"/>
    <row r="55" ht="14.5"/>
    <row r="56" ht="14.5"/>
    <row r="57" ht="14.5"/>
    <row r="58" ht="14.5"/>
    <row r="59" ht="14.5"/>
    <row r="60" ht="14.5"/>
    <row r="61" ht="14.5"/>
    <row r="62" ht="14.5"/>
    <row r="63" ht="14.5"/>
    <row r="64" ht="14.5"/>
    <row r="65" ht="14.5"/>
    <row r="66" ht="14.5"/>
    <row r="67" ht="14.5"/>
    <row r="68" ht="14.5"/>
    <row r="69" ht="14.5"/>
    <row r="70" ht="14.5"/>
    <row r="71" ht="14.5"/>
    <row r="72" ht="14.5"/>
    <row r="73" ht="14.5"/>
    <row r="74" ht="14.5"/>
    <row r="75" ht="14.5"/>
    <row r="76" ht="14.5"/>
    <row r="77" ht="14.5"/>
    <row r="78" ht="14.5"/>
    <row r="79" ht="14.5"/>
    <row r="80" ht="14.5"/>
    <row r="81" ht="14.5"/>
    <row r="82" ht="14.5"/>
    <row r="83" ht="14.5"/>
    <row r="84" ht="14.5"/>
    <row r="85" ht="14.5"/>
    <row r="86" ht="14.5"/>
    <row r="87" ht="14.5"/>
    <row r="88" ht="14.5"/>
    <row r="89" ht="14.5"/>
    <row r="90" ht="14.5"/>
    <row r="91" ht="14.5"/>
    <row r="92" ht="14.5"/>
    <row r="93" ht="14.5"/>
    <row r="94" ht="14.5"/>
    <row r="95" ht="14.5"/>
    <row r="96" ht="14.5"/>
    <row r="97" ht="14.5"/>
    <row r="98" ht="14.5"/>
    <row r="99" ht="14.5"/>
    <row r="100" ht="14.5"/>
    <row r="101" ht="14.5"/>
    <row r="102" ht="14.5"/>
    <row r="103" ht="14.5"/>
    <row r="104" ht="14.5"/>
    <row r="105" ht="14.5"/>
    <row r="106" ht="14.5"/>
    <row r="107" ht="14.5"/>
    <row r="108" ht="14.5"/>
    <row r="109" ht="14.5"/>
    <row r="110" ht="14.5"/>
    <row r="111" ht="14.5"/>
    <row r="112" ht="14.5"/>
    <row r="113" ht="14.5"/>
    <row r="114" ht="14.5"/>
    <row r="115" ht="14.5"/>
    <row r="116" ht="14.5"/>
    <row r="117" ht="14.5"/>
    <row r="118" ht="14.5"/>
    <row r="119" ht="14.5"/>
    <row r="120" ht="14.5"/>
    <row r="121" ht="14.5"/>
    <row r="122" ht="14.5"/>
    <row r="123" ht="14.5"/>
    <row r="124" ht="14.5"/>
    <row r="125" ht="14.5"/>
    <row r="126" ht="14.5"/>
    <row r="127" ht="14.5"/>
    <row r="128" ht="14.5"/>
    <row r="129" ht="14.5"/>
    <row r="130" ht="14.5"/>
    <row r="131" ht="14.5"/>
    <row r="132" ht="14.5"/>
    <row r="133" ht="14.5"/>
    <row r="134" ht="14.5"/>
    <row r="135" ht="14.5"/>
    <row r="136" ht="14.5"/>
    <row r="137" ht="14.5"/>
    <row r="138" ht="14.5"/>
    <row r="139" ht="14.5"/>
    <row r="140" ht="14.5"/>
    <row r="141" ht="14.5"/>
    <row r="142" ht="14.5"/>
    <row r="143" ht="14.5"/>
    <row r="144" ht="14.5"/>
    <row r="145" ht="14.5"/>
    <row r="146" ht="14.5"/>
    <row r="147" ht="14.5"/>
    <row r="148" ht="14.5"/>
    <row r="149" ht="14.5"/>
    <row r="150" ht="14.5"/>
    <row r="151" ht="14.5"/>
    <row r="152" ht="14.5"/>
    <row r="153" ht="14.5"/>
    <row r="154" ht="14.5"/>
    <row r="155" ht="14.5"/>
    <row r="156" ht="14.5"/>
    <row r="157" ht="14.5"/>
    <row r="158" ht="14.5"/>
    <row r="159" ht="14.5"/>
    <row r="160" ht="15" customHeight="1"/>
    <row r="161" ht="15" customHeight="1"/>
    <row r="162" ht="15" customHeight="1"/>
    <row r="163" ht="15" customHeight="1"/>
    <row r="164" ht="15" customHeight="1"/>
  </sheetData>
  <sheetProtection algorithmName="SHA-512" hashValue="dPD1wkKG/gCwAc85yHNE9hu6z6WumoHUMRKsStlKlJE6ZnZbiZQPxofHbKCP7d1KzuM3EDGA9sL9mKLn9sAfmg==" saltValue="RbXtuv3C4AKqGnd64HOA7g==" spinCount="100000" sheet="1" selectLockedCells="1"/>
  <mergeCells count="38">
    <mergeCell ref="B41:O42"/>
    <mergeCell ref="B8:C8"/>
    <mergeCell ref="B4:C4"/>
    <mergeCell ref="B5:C5"/>
    <mergeCell ref="B6:C6"/>
    <mergeCell ref="B7:C7"/>
    <mergeCell ref="B20:C20"/>
    <mergeCell ref="B9:C9"/>
    <mergeCell ref="B10:C10"/>
    <mergeCell ref="B11:C11"/>
    <mergeCell ref="B12:C12"/>
    <mergeCell ref="B13:C13"/>
    <mergeCell ref="B14:C14"/>
    <mergeCell ref="B15:C15"/>
    <mergeCell ref="B16:C16"/>
    <mergeCell ref="B17:C17"/>
    <mergeCell ref="B18:C18"/>
    <mergeCell ref="B19:C19"/>
    <mergeCell ref="B21:C21"/>
    <mergeCell ref="B22:C22"/>
    <mergeCell ref="B23:C23"/>
    <mergeCell ref="Q30:AI30"/>
    <mergeCell ref="X35:AA35"/>
    <mergeCell ref="AB35:AC35"/>
    <mergeCell ref="AE35:AH35"/>
    <mergeCell ref="B26:C26"/>
    <mergeCell ref="B28:C28"/>
    <mergeCell ref="AC40:AH40"/>
    <mergeCell ref="AC41:AH41"/>
    <mergeCell ref="AC42:AH42"/>
    <mergeCell ref="AC39:AH39"/>
    <mergeCell ref="AJ31:AK31"/>
    <mergeCell ref="Q37:AI37"/>
    <mergeCell ref="X32:AA32"/>
    <mergeCell ref="AB32:AC32"/>
    <mergeCell ref="AE32:AH32"/>
    <mergeCell ref="Q33:AI33"/>
    <mergeCell ref="Q31:AI31"/>
  </mergeCells>
  <conditionalFormatting sqref="D4:AH23">
    <cfRule type="expression" dxfId="187" priority="29">
      <formula>D$2</formula>
    </cfRule>
  </conditionalFormatting>
  <conditionalFormatting sqref="J4:J21">
    <cfRule type="expression" dxfId="186" priority="30">
      <formula>J$2</formula>
    </cfRule>
  </conditionalFormatting>
  <conditionalFormatting sqref="D3:AH3">
    <cfRule type="expression" dxfId="185" priority="28">
      <formula>MATCH(D3,INDIRECT("Fixed_weekdays[DateInYear]"),0)&gt;0</formula>
    </cfRule>
  </conditionalFormatting>
  <conditionalFormatting sqref="D3:AH3">
    <cfRule type="expression" dxfId="184" priority="27">
      <formula>MATCH(D3,INDIRECT("Fixed_dates[DateInYear]"),0)&gt;0</formula>
    </cfRule>
  </conditionalFormatting>
  <conditionalFormatting sqref="D3:AH3">
    <cfRule type="expression" dxfId="183" priority="26">
      <formula>AND(INDEX(INDIRECT("Shortened[WorkHours]"),MATCH(D3,INDIRECT("Shortened[DateInYear]"),0),0)&gt;0,INDEX(INDIRECT("Shortened[WorkHours]"),MATCH(D3,INDIRECT("Shortened[DateInYear]"),0),0)&lt;8)</formula>
    </cfRule>
  </conditionalFormatting>
  <conditionalFormatting sqref="D3:AH3">
    <cfRule type="expression" dxfId="182" priority="25">
      <formula>AND(INDEX(INDIRECT("Clamp[WorkHours]"),MATCH(C3,INDIRECT("Clamp[DateInYear]"),0),0)&gt;0,INDEX(INDIRECT("Clamp[WorkHours]"),MATCH(C3,INDIRECT("Clamp[DateInYear]"),0),0)&lt;8)</formula>
    </cfRule>
  </conditionalFormatting>
  <conditionalFormatting sqref="D3:AH3">
    <cfRule type="expression" dxfId="181" priority="23">
      <formula>INDEX(INDIRECT("Shortened[WorkHours]"),MATCH(D3,INDIRECT("Shortened[DateInYear]"),0),0)&gt;7</formula>
    </cfRule>
    <cfRule type="expression" dxfId="180" priority="24">
      <formula>INDEX(INDIRECT("Clamp[WorkHours]"),MATCH(D3,INDIRECT("Clamp[DateInYear]"),0),0)&gt;7</formula>
    </cfRule>
  </conditionalFormatting>
  <conditionalFormatting sqref="D3:AH3">
    <cfRule type="expression" dxfId="179" priority="22">
      <formula>OR(WEEKDAY(D3,2)=6,WEEKDAY(D3,2)=7)</formula>
    </cfRule>
  </conditionalFormatting>
  <conditionalFormatting sqref="J18:J22">
    <cfRule type="expression" dxfId="178" priority="21">
      <formula>J$2</formula>
    </cfRule>
  </conditionalFormatting>
  <conditionalFormatting sqref="B4:C22">
    <cfRule type="containsText" dxfId="177" priority="13" operator="containsText" text="Other US">
      <formula>NOT(ISERROR(SEARCH("Other US",B4)))</formula>
    </cfRule>
    <cfRule type="containsText" dxfId="176" priority="14" operator="containsText" text="US Army">
      <formula>NOT(ISERROR(SEARCH("US Army",B4)))</formula>
    </cfRule>
    <cfRule type="containsText" dxfId="175" priority="16" operator="containsText" text="NIH">
      <formula>NOT(ISERROR(SEARCH("NIH",B4)))</formula>
    </cfRule>
    <cfRule type="containsText" dxfId="174" priority="17" operator="containsText" text="FP7">
      <formula>NOT(ISERROR(SEARCH("FP7",B4)))</formula>
    </cfRule>
    <cfRule type="containsText" dxfId="173" priority="18" operator="containsText" text="H2020">
      <formula>NOT(ISERROR(SEARCH("H2020",B4)))</formula>
    </cfRule>
    <cfRule type="containsText" dxfId="172" priority="19" operator="containsText" text="Sida">
      <formula>NOT(ISERROR(SEARCH("Sida",B4)))</formula>
    </cfRule>
    <cfRule type="containsText" dxfId="171" priority="20" operator="containsText" text="Other">
      <formula>NOT(ISERROR(SEARCH("Other",B4)))</formula>
    </cfRule>
  </conditionalFormatting>
  <conditionalFormatting sqref="AK26">
    <cfRule type="expression" dxfId="170" priority="11">
      <formula>AK$2</formula>
    </cfRule>
  </conditionalFormatting>
  <conditionalFormatting sqref="D25:AH25">
    <cfRule type="iconSet" priority="8">
      <iconSet iconSet="3Flags">
        <cfvo type="percent" val="0"/>
        <cfvo type="percent" val="33"/>
        <cfvo type="percent" val="67"/>
      </iconSet>
    </cfRule>
  </conditionalFormatting>
  <conditionalFormatting sqref="D25:AH25">
    <cfRule type="iconSet" priority="7">
      <iconSet iconSet="3Flags">
        <cfvo type="percent" val="0"/>
        <cfvo type="percent" val="33"/>
        <cfvo type="percent" val="67"/>
      </iconSet>
    </cfRule>
  </conditionalFormatting>
  <conditionalFormatting sqref="D26:AH26">
    <cfRule type="cellIs" dxfId="169" priority="4" operator="greaterThan">
      <formula>24</formula>
    </cfRule>
    <cfRule type="cellIs" dxfId="168" priority="5" operator="greaterThan">
      <formula>14</formula>
    </cfRule>
  </conditionalFormatting>
  <conditionalFormatting sqref="AJ31">
    <cfRule type="expression" dxfId="167" priority="3">
      <formula>AK$2</formula>
    </cfRule>
  </conditionalFormatting>
  <dataValidations count="1">
    <dataValidation type="decimal" allowBlank="1" showInputMessage="1" showErrorMessage="1" errorTitle="ERROR !" error="You may report min 0,5 and max 24 hrs per WP or Project" sqref="D4:AH23" xr:uid="{00000000-0002-0000-0800-000000000000}">
      <formula1>0.5</formula1>
      <formula2>24</formula2>
    </dataValidation>
  </dataValidations>
  <printOptions horizontalCentered="1" verticalCentered="1"/>
  <pageMargins left="0.7" right="0.7" top="1.2072916666666667" bottom="0.75" header="0.45652173913043476" footer="0.3"/>
  <pageSetup paperSize="9" scale="51" orientation="landscape" r:id="rId1"/>
  <headerFooter>
    <oddHeader>&amp;L&amp;G&amp;C&amp;24TIMESHEET</oddHeader>
  </headerFooter>
  <legacyDrawingHF r:id="rId2"/>
  <extLst>
    <ext xmlns:x14="http://schemas.microsoft.com/office/spreadsheetml/2009/9/main" uri="{78C0D931-6437-407d-A8EE-F0AAD7539E65}">
      <x14:conditionalFormattings>
        <x14:conditionalFormatting xmlns:xm="http://schemas.microsoft.com/office/excel/2006/main">
          <x14:cfRule type="containsText" priority="15" operator="containsText" id="{3BD1DC22-387D-4555-915E-8ACCC08250EA}">
            <xm:f>NOT(ISERROR(SEARCH("Non-project",B4)))</xm:f>
            <xm:f>"Non-project"</xm:f>
            <x14:dxf>
              <fill>
                <patternFill>
                  <bgColor theme="6" tint="0.59996337778862885"/>
                </patternFill>
              </fill>
            </x14:dxf>
          </x14:cfRule>
          <xm:sqref>B4:C22</xm:sqref>
        </x14:conditionalFormatting>
        <x14:conditionalFormatting xmlns:xm="http://schemas.microsoft.com/office/excel/2006/main">
          <x14:cfRule type="iconSet" priority="10" id="{84975058-9010-48EA-A623-4CE910E7F65F}">
            <x14:iconSet iconSet="3Flags" showValue="0" custom="1">
              <x14:cfvo type="percent">
                <xm:f>0</xm:f>
              </x14:cfvo>
              <x14:cfvo type="num">
                <xm:f>0</xm:f>
              </x14:cfvo>
              <x14:cfvo type="num" gte="0">
                <xm:f>0</xm:f>
              </x14:cfvo>
              <x14:cfIcon iconSet="NoIcons" iconId="0"/>
              <x14:cfIcon iconSet="NoIcons" iconId="0"/>
              <x14:cfIcon iconSet="3Flags" iconId="1"/>
            </x14:iconSet>
          </x14:cfRule>
          <xm:sqref>AL26</xm:sqref>
        </x14:conditionalFormatting>
        <x14:conditionalFormatting xmlns:xm="http://schemas.microsoft.com/office/excel/2006/main">
          <x14:cfRule type="iconSet" priority="9" id="{5CF04921-9927-419B-9F00-FE27CD5613FC}">
            <x14:iconSet iconSet="3Flags" showValue="0" custom="1">
              <x14:cfvo type="percent">
                <xm:f>0</xm:f>
              </x14:cfvo>
              <x14:cfvo type="num">
                <xm:f>0</xm:f>
              </x14:cfvo>
              <x14:cfvo type="num" gte="0">
                <xm:f>0</xm:f>
              </x14:cfvo>
              <x14:cfIcon iconSet="NoIcons" iconId="0"/>
              <x14:cfIcon iconSet="NoIcons" iconId="0"/>
              <x14:cfIcon iconSet="3Flags" iconId="0"/>
            </x14:iconSet>
          </x14:cfRule>
          <xm:sqref>AL27</xm:sqref>
        </x14:conditionalFormatting>
        <x14:conditionalFormatting xmlns:xm="http://schemas.microsoft.com/office/excel/2006/main">
          <x14:cfRule type="iconSet" priority="6" id="{67886CE6-AF9A-4C0A-AB7F-39906F0149A0}">
            <x14:iconSet iconSet="3Flags" showValue="0" custom="1">
              <x14:cfvo type="percent">
                <xm:f>0</xm:f>
              </x14:cfvo>
              <x14:cfvo type="num" gte="0">
                <xm:f>14</xm:f>
              </x14:cfvo>
              <x14:cfvo type="num" gte="0">
                <xm:f>24</xm:f>
              </x14:cfvo>
              <x14:cfIcon iconSet="NoIcons" iconId="0"/>
              <x14:cfIcon iconSet="3Flags" iconId="1"/>
              <x14:cfIcon iconSet="3Flags" iconId="0"/>
            </x14:iconSet>
          </x14:cfRule>
          <xm:sqref>D25:AH25</xm:sqref>
        </x14:conditionalFormatting>
        <x14:conditionalFormatting xmlns:xm="http://schemas.microsoft.com/office/excel/2006/main">
          <x14:cfRule type="iconSet" priority="2" id="{5B340F90-F712-42F6-B1B1-07FF96137C4C}">
            <x14:iconSet iconSet="3Flags" showValue="0" custom="1">
              <x14:cfvo type="percent">
                <xm:f>0</xm:f>
              </x14:cfvo>
              <x14:cfvo type="num">
                <xm:f>0</xm:f>
              </x14:cfvo>
              <x14:cfvo type="num" gte="0">
                <xm:f>0</xm:f>
              </x14:cfvo>
              <x14:cfIcon iconSet="NoIcons" iconId="0"/>
              <x14:cfIcon iconSet="NoIcons" iconId="0"/>
              <x14:cfIcon iconSet="3Flags" iconId="1"/>
            </x14:iconSet>
          </x14:cfRule>
          <xm:sqref>AJ32</xm:sqref>
        </x14:conditionalFormatting>
        <x14:conditionalFormatting xmlns:xm="http://schemas.microsoft.com/office/excel/2006/main">
          <x14:cfRule type="iconSet" priority="1" id="{60020252-9D91-45F2-BA61-C025E646E251}">
            <x14:iconSet iconSet="3Flags" showValue="0" custom="1">
              <x14:cfvo type="percent">
                <xm:f>0</xm:f>
              </x14:cfvo>
              <x14:cfvo type="num">
                <xm:f>0</xm:f>
              </x14:cfvo>
              <x14:cfvo type="num" gte="0">
                <xm:f>0</xm:f>
              </x14:cfvo>
              <x14:cfIcon iconSet="NoIcons" iconId="0"/>
              <x14:cfIcon iconSet="NoIcons" iconId="0"/>
              <x14:cfIcon iconSet="3Flags" iconId="0"/>
            </x14:iconSet>
          </x14:cfRule>
          <xm:sqref>AJ33</xm:sqref>
        </x14:conditionalFormatting>
      </x14:conditionalFormattings>
    </ext>
  </extLst>
</worksheet>
</file>

<file path=customUI/customUI.xml><?xml version="1.0" encoding="utf-8"?>
<customUI xmlns="http://schemas.microsoft.com/office/2006/01/customui">
  <commands>
    <command idMso="SheetMoveOrCopy" enabled="false"/>
    <command idMso="SheetColumnsInsert" enabled="false"/>
    <command idMso="SheetColumnsDelete" enabled="false"/>
    <command idMso="Cut" enabled="false"/>
    <command idMso="PasteGallery" enabled="false"/>
    <command idMso="Paste" enabled="false"/>
    <command idMso="CellsInsertSmart" enabled="false"/>
    <command idMso="CellsInsertDialog" enabled="false"/>
    <command idMso="CellsDeleteSmart" enabled="false"/>
    <command idMso="CellsDelete" enabled="false"/>
  </commands>
  <ribbon startFromScratch="false">
    <tabs>
      <tab id="AloxABribbon1" label="Karolinska Institutet" keytip="O">
        <group id="AloxABgrupp1" label="Utskrift">
          <button idMso="FilePrintPreview" label="Förhands- granska" size="large"/>
          <button idMso="FilePrint" label="Skriv ut" size="large"/>
        </group>
        <group id="AloxABgrupp2" label="Visa / Dölj">
          <checkBox idMso="ViewSheetHeadings" label="Rad/Kolumnrubrik"/>
          <checkBox idMso="GridlinesExcel" label="Stödlinjer"/>
        </group>
        <group id="AloxABgrupp3">
          <menu id="AloxABm1" label="Info" size="large" imageMso="Info">
            <menuSeparator id="Sep4" title="Programbeskrivning"/>
            <button id="AloxABknappM2" imageMso="_I" label="Typ: Registrerings-/transaktionsverktyg." screentip=" "/>
            <button id="AloxABknappM3" imageMso="_I" label="Funktion: Tidsrapportering 2014." screentip=" "/>
            <menuSeparator id="Sep41" title="Kund"/>
            <button id="AloxABknappM4" imageMso="_I" label="Karolinska Institutet. ZZUFJANJEP." screentip=" "/>
            <menuSeparator id="Sep3" title="Leverantör"/>
            <button id="AloxABknappM5" imageMso="_I" label="Alox AB, David Grünstein,  www.alox.se" screentip=" "/>
          </menu>
        </group>
      </tab>
    </tabs>
  </ribbon>
</customUI>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37FD6BDAA952054EB02D18E67CD356BE" ma:contentTypeVersion="12" ma:contentTypeDescription="Skapa ett nytt dokument." ma:contentTypeScope="" ma:versionID="e27eaea313ba725b03d1a34dcf8101cf">
  <xsd:schema xmlns:xsd="http://www.w3.org/2001/XMLSchema" xmlns:xs="http://www.w3.org/2001/XMLSchema" xmlns:p="http://schemas.microsoft.com/office/2006/metadata/properties" xmlns:ns2="2a56247b-3027-4b0b-92c5-623f93638584" xmlns:ns3="72a34bbe-4535-4ea5-85fe-93d98a072191" targetNamespace="http://schemas.microsoft.com/office/2006/metadata/properties" ma:root="true" ma:fieldsID="b94340af03459013f400ab9a79315bf9" ns2:_="" ns3:_="">
    <xsd:import namespace="2a56247b-3027-4b0b-92c5-623f93638584"/>
    <xsd:import namespace="72a34bbe-4535-4ea5-85fe-93d98a07219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a56247b-3027-4b0b-92c5-623f9363858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2a34bbe-4535-4ea5-85fe-93d98a072191" elementFormDefault="qualified">
    <xsd:import namespace="http://schemas.microsoft.com/office/2006/documentManagement/types"/>
    <xsd:import namespace="http://schemas.microsoft.com/office/infopath/2007/PartnerControls"/>
    <xsd:element name="SharedWithUsers" ma:index="16"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lat med informa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72a34bbe-4535-4ea5-85fe-93d98a072191">
      <UserInfo>
        <DisplayName>George Papathanasiou</DisplayName>
        <AccountId>13</AccountId>
        <AccountType/>
      </UserInfo>
    </SharedWithUsers>
  </documentManagement>
</p:properties>
</file>

<file path=customXml/itemProps1.xml><?xml version="1.0" encoding="utf-8"?>
<ds:datastoreItem xmlns:ds="http://schemas.openxmlformats.org/officeDocument/2006/customXml" ds:itemID="{DB93A54C-6C15-4E81-812A-B8C362AC50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a56247b-3027-4b0b-92c5-623f93638584"/>
    <ds:schemaRef ds:uri="72a34bbe-4535-4ea5-85fe-93d98a0721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C4519F3-E299-4BB0-9FEA-AECF80BD175D}">
  <ds:schemaRefs>
    <ds:schemaRef ds:uri="http://schemas.microsoft.com/sharepoint/v3/contenttype/forms"/>
  </ds:schemaRefs>
</ds:datastoreItem>
</file>

<file path=customXml/itemProps3.xml><?xml version="1.0" encoding="utf-8"?>
<ds:datastoreItem xmlns:ds="http://schemas.openxmlformats.org/officeDocument/2006/customXml" ds:itemID="{8FE5DADF-88AC-4C0F-BB95-3EC21163A3F2}">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2a56247b-3027-4b0b-92c5-623f93638584"/>
    <ds:schemaRef ds:uri="72a34bbe-4535-4ea5-85fe-93d98a072191"/>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18</vt:i4>
      </vt:variant>
      <vt:variant>
        <vt:lpstr>Namngivna områden</vt:lpstr>
      </vt:variant>
      <vt:variant>
        <vt:i4>366</vt:i4>
      </vt:variant>
    </vt:vector>
  </HeadingPairs>
  <TitlesOfParts>
    <vt:vector size="384" baseType="lpstr">
      <vt:lpstr>Instructions 2021</vt:lpstr>
      <vt:lpstr>Instructions</vt:lpstr>
      <vt:lpstr>Holidays</vt:lpstr>
      <vt:lpstr>Start page</vt:lpstr>
      <vt:lpstr>Jan</vt:lpstr>
      <vt:lpstr>Feb</vt:lpstr>
      <vt:lpstr>Mar</vt:lpstr>
      <vt:lpstr>Apr</vt:lpstr>
      <vt:lpstr>May</vt:lpstr>
      <vt:lpstr>Jun</vt:lpstr>
      <vt:lpstr>Jul</vt:lpstr>
      <vt:lpstr>Aug</vt:lpstr>
      <vt:lpstr>Sep</vt:lpstr>
      <vt:lpstr>Oct</vt:lpstr>
      <vt:lpstr>Nov</vt:lpstr>
      <vt:lpstr>Dec</vt:lpstr>
      <vt:lpstr>Overview</vt:lpstr>
      <vt:lpstr>Definitions</vt:lpstr>
      <vt:lpstr>Activity</vt:lpstr>
      <vt:lpstr>Activity.01</vt:lpstr>
      <vt:lpstr>Activity.02</vt:lpstr>
      <vt:lpstr>Activity.03</vt:lpstr>
      <vt:lpstr>Activity.04</vt:lpstr>
      <vt:lpstr>Activity.05</vt:lpstr>
      <vt:lpstr>Activity.06</vt:lpstr>
      <vt:lpstr>Activity.07</vt:lpstr>
      <vt:lpstr>Activity.08</vt:lpstr>
      <vt:lpstr>Activity.09</vt:lpstr>
      <vt:lpstr>Activity.10</vt:lpstr>
      <vt:lpstr>Activity.11</vt:lpstr>
      <vt:lpstr>Activity.12</vt:lpstr>
      <vt:lpstr>Activity.13</vt:lpstr>
      <vt:lpstr>Activity.14</vt:lpstr>
      <vt:lpstr>Activity.15</vt:lpstr>
      <vt:lpstr>Activity.16</vt:lpstr>
      <vt:lpstr>Activity.17</vt:lpstr>
      <vt:lpstr>Activity.18</vt:lpstr>
      <vt:lpstr>Activity.19</vt:lpstr>
      <vt:lpstr>Activity.20</vt:lpstr>
      <vt:lpstr>AprTot.01</vt:lpstr>
      <vt:lpstr>AprTot.02</vt:lpstr>
      <vt:lpstr>AprTot.03</vt:lpstr>
      <vt:lpstr>AprTot.04</vt:lpstr>
      <vt:lpstr>AprTot.05</vt:lpstr>
      <vt:lpstr>AprTot.06</vt:lpstr>
      <vt:lpstr>AprTot.07</vt:lpstr>
      <vt:lpstr>AprTot.08</vt:lpstr>
      <vt:lpstr>AprTot.09</vt:lpstr>
      <vt:lpstr>AprTot.10</vt:lpstr>
      <vt:lpstr>AprTot.11</vt:lpstr>
      <vt:lpstr>AprTot.12</vt:lpstr>
      <vt:lpstr>AprTot.13</vt:lpstr>
      <vt:lpstr>AprTot.14</vt:lpstr>
      <vt:lpstr>AprTot.15</vt:lpstr>
      <vt:lpstr>AprTot.16</vt:lpstr>
      <vt:lpstr>AprTot.17</vt:lpstr>
      <vt:lpstr>AprTot.18</vt:lpstr>
      <vt:lpstr>AprTot.19</vt:lpstr>
      <vt:lpstr>AprTot.20</vt:lpstr>
      <vt:lpstr>AugTot.01</vt:lpstr>
      <vt:lpstr>AugTot.02</vt:lpstr>
      <vt:lpstr>AugTot.03</vt:lpstr>
      <vt:lpstr>AugTot.04</vt:lpstr>
      <vt:lpstr>AugTot.05</vt:lpstr>
      <vt:lpstr>AugTot.06</vt:lpstr>
      <vt:lpstr>AugTot.07</vt:lpstr>
      <vt:lpstr>AugTot.08</vt:lpstr>
      <vt:lpstr>AugTot.09</vt:lpstr>
      <vt:lpstr>AugTot.10</vt:lpstr>
      <vt:lpstr>AugTot.11</vt:lpstr>
      <vt:lpstr>AugTot.12</vt:lpstr>
      <vt:lpstr>AugTot.13</vt:lpstr>
      <vt:lpstr>AugTot.14</vt:lpstr>
      <vt:lpstr>AugTot.15</vt:lpstr>
      <vt:lpstr>AugTot.16</vt:lpstr>
      <vt:lpstr>AugTot.17</vt:lpstr>
      <vt:lpstr>AugTot.18</vt:lpstr>
      <vt:lpstr>AugTot.19</vt:lpstr>
      <vt:lpstr>AugTot.20</vt:lpstr>
      <vt:lpstr>Contract.01</vt:lpstr>
      <vt:lpstr>Contract.02</vt:lpstr>
      <vt:lpstr>Contract.03</vt:lpstr>
      <vt:lpstr>Contract.04</vt:lpstr>
      <vt:lpstr>Contract.05</vt:lpstr>
      <vt:lpstr>Contract.06</vt:lpstr>
      <vt:lpstr>Contract.07</vt:lpstr>
      <vt:lpstr>Contract.08</vt:lpstr>
      <vt:lpstr>Contract.09</vt:lpstr>
      <vt:lpstr>Contract.10</vt:lpstr>
      <vt:lpstr>Contract.11</vt:lpstr>
      <vt:lpstr>Contract.12</vt:lpstr>
      <vt:lpstr>Contract.13</vt:lpstr>
      <vt:lpstr>Contract.14</vt:lpstr>
      <vt:lpstr>Contract.15</vt:lpstr>
      <vt:lpstr>Contract.16</vt:lpstr>
      <vt:lpstr>Contract.17</vt:lpstr>
      <vt:lpstr>Contract.18</vt:lpstr>
      <vt:lpstr>Contract.19</vt:lpstr>
      <vt:lpstr>Contract.20</vt:lpstr>
      <vt:lpstr>DecTot.01</vt:lpstr>
      <vt:lpstr>DecTot.02</vt:lpstr>
      <vt:lpstr>DecTot.03</vt:lpstr>
      <vt:lpstr>DecTot.04</vt:lpstr>
      <vt:lpstr>DecTot.05</vt:lpstr>
      <vt:lpstr>DecTot.06</vt:lpstr>
      <vt:lpstr>DecTot.07</vt:lpstr>
      <vt:lpstr>DecTot.08</vt:lpstr>
      <vt:lpstr>DecTot.09</vt:lpstr>
      <vt:lpstr>DecTot.10</vt:lpstr>
      <vt:lpstr>DecTot.11</vt:lpstr>
      <vt:lpstr>DecTot.12</vt:lpstr>
      <vt:lpstr>DecTot.13</vt:lpstr>
      <vt:lpstr>DecTot.14</vt:lpstr>
      <vt:lpstr>DecTot.15</vt:lpstr>
      <vt:lpstr>DecTot.16</vt:lpstr>
      <vt:lpstr>DecTot.17</vt:lpstr>
      <vt:lpstr>DecTot.18</vt:lpstr>
      <vt:lpstr>DecTot.19</vt:lpstr>
      <vt:lpstr>DecTot.20</vt:lpstr>
      <vt:lpstr>FebTot.01</vt:lpstr>
      <vt:lpstr>FebTot.02</vt:lpstr>
      <vt:lpstr>FebTot.03</vt:lpstr>
      <vt:lpstr>FebTot.04</vt:lpstr>
      <vt:lpstr>FebTot.05</vt:lpstr>
      <vt:lpstr>FebTot.06</vt:lpstr>
      <vt:lpstr>FebTot.07</vt:lpstr>
      <vt:lpstr>FebTot.08</vt:lpstr>
      <vt:lpstr>FebTot.09</vt:lpstr>
      <vt:lpstr>FebTot.10</vt:lpstr>
      <vt:lpstr>FebTot.11</vt:lpstr>
      <vt:lpstr>FebTot.12</vt:lpstr>
      <vt:lpstr>FebTot.13</vt:lpstr>
      <vt:lpstr>FebTot.14</vt:lpstr>
      <vt:lpstr>FebTot.15</vt:lpstr>
      <vt:lpstr>FebTot.16</vt:lpstr>
      <vt:lpstr>FebTot.17</vt:lpstr>
      <vt:lpstr>FebTot.18</vt:lpstr>
      <vt:lpstr>FebTot.19</vt:lpstr>
      <vt:lpstr>FebTot.20</vt:lpstr>
      <vt:lpstr>FebTot.7</vt:lpstr>
      <vt:lpstr>JanTot.01</vt:lpstr>
      <vt:lpstr>JanTot.02</vt:lpstr>
      <vt:lpstr>JanTot.03</vt:lpstr>
      <vt:lpstr>JanTot.04</vt:lpstr>
      <vt:lpstr>JanTot.05</vt:lpstr>
      <vt:lpstr>JanTot.06</vt:lpstr>
      <vt:lpstr>JanTot.07</vt:lpstr>
      <vt:lpstr>JanTot.08</vt:lpstr>
      <vt:lpstr>JanTot.09</vt:lpstr>
      <vt:lpstr>JanTot.10</vt:lpstr>
      <vt:lpstr>JanTot.11</vt:lpstr>
      <vt:lpstr>JanTot.12</vt:lpstr>
      <vt:lpstr>JanTot.13</vt:lpstr>
      <vt:lpstr>JanTot.14</vt:lpstr>
      <vt:lpstr>JanTot.15</vt:lpstr>
      <vt:lpstr>JanTot.16</vt:lpstr>
      <vt:lpstr>JanTot.17</vt:lpstr>
      <vt:lpstr>JanTot.18</vt:lpstr>
      <vt:lpstr>JanTot.19</vt:lpstr>
      <vt:lpstr>JanTot.20</vt:lpstr>
      <vt:lpstr>JulTot.01</vt:lpstr>
      <vt:lpstr>JulTot.02</vt:lpstr>
      <vt:lpstr>JulTot.03</vt:lpstr>
      <vt:lpstr>JulTot.04</vt:lpstr>
      <vt:lpstr>JulTot.05</vt:lpstr>
      <vt:lpstr>JulTot.06</vt:lpstr>
      <vt:lpstr>JulTot.07</vt:lpstr>
      <vt:lpstr>JulTot.08</vt:lpstr>
      <vt:lpstr>JulTot.09</vt:lpstr>
      <vt:lpstr>JulTot.10</vt:lpstr>
      <vt:lpstr>JulTot.11</vt:lpstr>
      <vt:lpstr>JulTot.12</vt:lpstr>
      <vt:lpstr>JulTot.13</vt:lpstr>
      <vt:lpstr>JulTot.14</vt:lpstr>
      <vt:lpstr>JulTot.15</vt:lpstr>
      <vt:lpstr>JulTot.16</vt:lpstr>
      <vt:lpstr>JulTot.17</vt:lpstr>
      <vt:lpstr>JulTot.18</vt:lpstr>
      <vt:lpstr>JulTot.19</vt:lpstr>
      <vt:lpstr>JulTot.20</vt:lpstr>
      <vt:lpstr>JunTot.01</vt:lpstr>
      <vt:lpstr>JunTot.02</vt:lpstr>
      <vt:lpstr>JunTot.03</vt:lpstr>
      <vt:lpstr>JunTot.04</vt:lpstr>
      <vt:lpstr>JunTot.05</vt:lpstr>
      <vt:lpstr>JunTot.06</vt:lpstr>
      <vt:lpstr>JunTot.07</vt:lpstr>
      <vt:lpstr>JunTot.08</vt:lpstr>
      <vt:lpstr>JunTot.09</vt:lpstr>
      <vt:lpstr>JunTot.10</vt:lpstr>
      <vt:lpstr>JunTot.11</vt:lpstr>
      <vt:lpstr>JunTot.12</vt:lpstr>
      <vt:lpstr>JunTot.13</vt:lpstr>
      <vt:lpstr>JunTot.14</vt:lpstr>
      <vt:lpstr>JunTot.15</vt:lpstr>
      <vt:lpstr>JunTot.16</vt:lpstr>
      <vt:lpstr>JunTot.17</vt:lpstr>
      <vt:lpstr>JunTot.18</vt:lpstr>
      <vt:lpstr>JunTot.19</vt:lpstr>
      <vt:lpstr>JunTot.20</vt:lpstr>
      <vt:lpstr>KI</vt:lpstr>
      <vt:lpstr>MarTot.01</vt:lpstr>
      <vt:lpstr>MarTot.02</vt:lpstr>
      <vt:lpstr>MarTot.03</vt:lpstr>
      <vt:lpstr>MarTot.04</vt:lpstr>
      <vt:lpstr>MarTot.05</vt:lpstr>
      <vt:lpstr>MarTot.06</vt:lpstr>
      <vt:lpstr>MarTot.07</vt:lpstr>
      <vt:lpstr>MarTot.08</vt:lpstr>
      <vt:lpstr>MarTot.09</vt:lpstr>
      <vt:lpstr>MarTot.10</vt:lpstr>
      <vt:lpstr>MarTot.11</vt:lpstr>
      <vt:lpstr>MarTot.12</vt:lpstr>
      <vt:lpstr>MarTot.13</vt:lpstr>
      <vt:lpstr>MarTot.14</vt:lpstr>
      <vt:lpstr>MarTot.15</vt:lpstr>
      <vt:lpstr>MarTot.16</vt:lpstr>
      <vt:lpstr>MarTot.17</vt:lpstr>
      <vt:lpstr>MarTot.18</vt:lpstr>
      <vt:lpstr>MarTot.19</vt:lpstr>
      <vt:lpstr>MarTot.20</vt:lpstr>
      <vt:lpstr>MayTot.01</vt:lpstr>
      <vt:lpstr>MayTot.02</vt:lpstr>
      <vt:lpstr>MayTot.03</vt:lpstr>
      <vt:lpstr>MayTot.04</vt:lpstr>
      <vt:lpstr>MayTot.05</vt:lpstr>
      <vt:lpstr>MayTot.06</vt:lpstr>
      <vt:lpstr>MayTot.07</vt:lpstr>
      <vt:lpstr>MayTot.08</vt:lpstr>
      <vt:lpstr>MayTot.09</vt:lpstr>
      <vt:lpstr>MayTot.10</vt:lpstr>
      <vt:lpstr>MayTot.11</vt:lpstr>
      <vt:lpstr>MayTot.12</vt:lpstr>
      <vt:lpstr>MayTot.13</vt:lpstr>
      <vt:lpstr>MayTot.14</vt:lpstr>
      <vt:lpstr>MayTot.15</vt:lpstr>
      <vt:lpstr>MayTot.16</vt:lpstr>
      <vt:lpstr>MayTot.17</vt:lpstr>
      <vt:lpstr>MayTot.18</vt:lpstr>
      <vt:lpstr>MayTot.19</vt:lpstr>
      <vt:lpstr>MayTot.20</vt:lpstr>
      <vt:lpstr>Member</vt:lpstr>
      <vt:lpstr>NovTot.01</vt:lpstr>
      <vt:lpstr>NovTot.02</vt:lpstr>
      <vt:lpstr>NovTot.03</vt:lpstr>
      <vt:lpstr>NovTot.04</vt:lpstr>
      <vt:lpstr>NovTot.05</vt:lpstr>
      <vt:lpstr>NovTot.06</vt:lpstr>
      <vt:lpstr>NovTot.07</vt:lpstr>
      <vt:lpstr>NovTot.08</vt:lpstr>
      <vt:lpstr>NovTot.09</vt:lpstr>
      <vt:lpstr>NovTot.10</vt:lpstr>
      <vt:lpstr>NovTot.11</vt:lpstr>
      <vt:lpstr>NovTot.12</vt:lpstr>
      <vt:lpstr>NovTot.13</vt:lpstr>
      <vt:lpstr>NovTot.14</vt:lpstr>
      <vt:lpstr>NovTot.15</vt:lpstr>
      <vt:lpstr>NovTot.16</vt:lpstr>
      <vt:lpstr>NovTot.17</vt:lpstr>
      <vt:lpstr>NovTot.18</vt:lpstr>
      <vt:lpstr>NovTot.19</vt:lpstr>
      <vt:lpstr>NovTot.20</vt:lpstr>
      <vt:lpstr>OctTot.01</vt:lpstr>
      <vt:lpstr>OctTot.02</vt:lpstr>
      <vt:lpstr>OctTot.03</vt:lpstr>
      <vt:lpstr>OctTot.04</vt:lpstr>
      <vt:lpstr>OctTot.05</vt:lpstr>
      <vt:lpstr>OctTot.06</vt:lpstr>
      <vt:lpstr>OctTot.07</vt:lpstr>
      <vt:lpstr>OctTot.08</vt:lpstr>
      <vt:lpstr>OctTot.09</vt:lpstr>
      <vt:lpstr>OctTot.10</vt:lpstr>
      <vt:lpstr>OctTot.11</vt:lpstr>
      <vt:lpstr>OctTot.12</vt:lpstr>
      <vt:lpstr>OctTot.13</vt:lpstr>
      <vt:lpstr>OctTot.14</vt:lpstr>
      <vt:lpstr>OctTot.15</vt:lpstr>
      <vt:lpstr>OctTot.16</vt:lpstr>
      <vt:lpstr>OctTot.17</vt:lpstr>
      <vt:lpstr>OctTot.18</vt:lpstr>
      <vt:lpstr>OctTot.19</vt:lpstr>
      <vt:lpstr>OctTot.20</vt:lpstr>
      <vt:lpstr>Program</vt:lpstr>
      <vt:lpstr>Project.01</vt:lpstr>
      <vt:lpstr>Project.02</vt:lpstr>
      <vt:lpstr>Project.03</vt:lpstr>
      <vt:lpstr>Project.04</vt:lpstr>
      <vt:lpstr>Project.05</vt:lpstr>
      <vt:lpstr>Project.06</vt:lpstr>
      <vt:lpstr>Project.07</vt:lpstr>
      <vt:lpstr>Project.08</vt:lpstr>
      <vt:lpstr>Project.09</vt:lpstr>
      <vt:lpstr>Project.10</vt:lpstr>
      <vt:lpstr>Project.11</vt:lpstr>
      <vt:lpstr>Project.12</vt:lpstr>
      <vt:lpstr>Project.13</vt:lpstr>
      <vt:lpstr>Project.14</vt:lpstr>
      <vt:lpstr>Project.15</vt:lpstr>
      <vt:lpstr>Project.16</vt:lpstr>
      <vt:lpstr>Project.17</vt:lpstr>
      <vt:lpstr>Project.18</vt:lpstr>
      <vt:lpstr>Project.19</vt:lpstr>
      <vt:lpstr>Project.20</vt:lpstr>
      <vt:lpstr>SepTot.01</vt:lpstr>
      <vt:lpstr>SepTot.02</vt:lpstr>
      <vt:lpstr>SepTot.03</vt:lpstr>
      <vt:lpstr>SepTot.04</vt:lpstr>
      <vt:lpstr>SepTot.05</vt:lpstr>
      <vt:lpstr>SepTot.06</vt:lpstr>
      <vt:lpstr>SepTot.07</vt:lpstr>
      <vt:lpstr>SepTot.08</vt:lpstr>
      <vt:lpstr>SepTot.09</vt:lpstr>
      <vt:lpstr>SepTot.10</vt:lpstr>
      <vt:lpstr>SepTot.11</vt:lpstr>
      <vt:lpstr>SepTot.12</vt:lpstr>
      <vt:lpstr>SepTot.13</vt:lpstr>
      <vt:lpstr>SepTot.14</vt:lpstr>
      <vt:lpstr>SepTot.15</vt:lpstr>
      <vt:lpstr>SepTot.16</vt:lpstr>
      <vt:lpstr>SepTot.17</vt:lpstr>
      <vt:lpstr>SepTot.18</vt:lpstr>
      <vt:lpstr>SepTot.19</vt:lpstr>
      <vt:lpstr>SepTot.20</vt:lpstr>
      <vt:lpstr>Supervisor</vt:lpstr>
      <vt:lpstr>Title.member</vt:lpstr>
      <vt:lpstr>Title.supervisor</vt:lpstr>
      <vt:lpstr>Type.01</vt:lpstr>
      <vt:lpstr>Type.02</vt:lpstr>
      <vt:lpstr>Type.03</vt:lpstr>
      <vt:lpstr>Type.04</vt:lpstr>
      <vt:lpstr>Type.05</vt:lpstr>
      <vt:lpstr>Type.06</vt:lpstr>
      <vt:lpstr>Type.07</vt:lpstr>
      <vt:lpstr>Type.08</vt:lpstr>
      <vt:lpstr>Type.09</vt:lpstr>
      <vt:lpstr>Type.10</vt:lpstr>
      <vt:lpstr>Type.11</vt:lpstr>
      <vt:lpstr>Type.12</vt:lpstr>
      <vt:lpstr>Type.13</vt:lpstr>
      <vt:lpstr>Type.14</vt:lpstr>
      <vt:lpstr>Type.15</vt:lpstr>
      <vt:lpstr>Type.16</vt:lpstr>
      <vt:lpstr>Type.17</vt:lpstr>
      <vt:lpstr>Type.18</vt:lpstr>
      <vt:lpstr>Type.19</vt:lpstr>
      <vt:lpstr>Type.20</vt:lpstr>
      <vt:lpstr>Apr!Utskriftsområde</vt:lpstr>
      <vt:lpstr>Aug!Utskriftsområde</vt:lpstr>
      <vt:lpstr>Dec!Utskriftsområde</vt:lpstr>
      <vt:lpstr>Feb!Utskriftsområde</vt:lpstr>
      <vt:lpstr>Holidays!Utskriftsområde</vt:lpstr>
      <vt:lpstr>Instructions!Utskriftsområde</vt:lpstr>
      <vt:lpstr>Jan!Utskriftsområde</vt:lpstr>
      <vt:lpstr>Jul!Utskriftsområde</vt:lpstr>
      <vt:lpstr>Jun!Utskriftsområde</vt:lpstr>
      <vt:lpstr>Mar!Utskriftsområde</vt:lpstr>
      <vt:lpstr>May!Utskriftsområde</vt:lpstr>
      <vt:lpstr>Nov!Utskriftsområde</vt:lpstr>
      <vt:lpstr>Oct!Utskriftsområde</vt:lpstr>
      <vt:lpstr>Overview!Utskriftsområde</vt:lpstr>
      <vt:lpstr>Sep!Utskriftsområde</vt:lpstr>
      <vt:lpstr>'Start page'!Utskriftsområde</vt:lpstr>
      <vt:lpstr>WP.01</vt:lpstr>
      <vt:lpstr>WP.02</vt:lpstr>
      <vt:lpstr>WP.03</vt:lpstr>
      <vt:lpstr>WP.04</vt:lpstr>
      <vt:lpstr>WP.05</vt:lpstr>
      <vt:lpstr>WP.06</vt:lpstr>
      <vt:lpstr>WP.07</vt:lpstr>
      <vt:lpstr>WP.08</vt:lpstr>
      <vt:lpstr>WP.09</vt:lpstr>
      <vt:lpstr>WP.10</vt:lpstr>
      <vt:lpstr>WP.11</vt:lpstr>
      <vt:lpstr>WP.12</vt:lpstr>
      <vt:lpstr>WP.13</vt:lpstr>
      <vt:lpstr>WP.14</vt:lpstr>
      <vt:lpstr>WP.15</vt:lpstr>
      <vt:lpstr>WP.16</vt:lpstr>
      <vt:lpstr>WP.17</vt:lpstr>
      <vt:lpstr>WP.18</vt:lpstr>
      <vt:lpstr>WP.19</vt:lpstr>
      <vt:lpstr>WP.20</vt:lpstr>
      <vt:lpstr>WP.list</vt:lpstr>
      <vt:lpstr>Year</vt:lpstr>
    </vt:vector>
  </TitlesOfParts>
  <Company>Karolinska Institutet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2017 KI Timesheet Template</dc:title>
  <dc:subject>Effort monitoring</dc:subject>
  <dc:creator>George Papathanasiou</dc:creator>
  <cp:keywords>tidrapportering;mall</cp:keywords>
  <cp:lastModifiedBy>Kia Olsson</cp:lastModifiedBy>
  <cp:lastPrinted>2020-11-21T11:40:42Z</cp:lastPrinted>
  <dcterms:created xsi:type="dcterms:W3CDTF">2010-09-17T12:04:12Z</dcterms:created>
  <dcterms:modified xsi:type="dcterms:W3CDTF">2020-12-04T13:39:02Z</dcterms:modified>
  <cp:category>Mall</cp:category>
  <dc:language>English</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0x01010037FD6BDAA952054EB02D18E67CD356BE</vt:lpwstr>
  </property>
</Properties>
</file>