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ink/ink7.xml" ContentType="application/inkml+xml"/>
  <Override PartName="/xl/ink/ink8.xml" ContentType="application/inkml+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891ff97a146f45d5" Type="http://schemas.microsoft.com/office/2006/relationships/ui/extensibility" Target="customUI/customUI.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ThisWorkbook" defaultThemeVersion="124226"/>
  <mc:AlternateContent xmlns:mc="http://schemas.openxmlformats.org/markup-compatibility/2006">
    <mc:Choice Requires="x15">
      <x15ac:absPath xmlns:x15ac="http://schemas.microsoft.com/office/spreadsheetml/2010/11/ac" url="https://kise-my.sharepoint.com/personal/maud_karebrand_ki_se/Documents/"/>
    </mc:Choice>
  </mc:AlternateContent>
  <xr:revisionPtr revIDLastSave="0" documentId="8_{357D31C0-6F16-416D-B00E-659B80C4A862}" xr6:coauthVersionLast="47" xr6:coauthVersionMax="47" xr10:uidLastSave="{00000000-0000-0000-0000-000000000000}"/>
  <workbookProtection workbookAlgorithmName="SHA-512" workbookHashValue="sBY2S0PUz+FzyQ2kOI3vWDhHUH/cytfMnR+dtZ6azHjrXyQbUfjKpT6Ph4Ej72EdpPnPaKaGpl2/1vdwCn3fhA==" workbookSaltValue="neQLMfABCtsLUUCheeIQsg==" workbookSpinCount="100000" lockStructure="1"/>
  <bookViews>
    <workbookView xWindow="-110" yWindow="-110" windowWidth="19420" windowHeight="11620" tabRatio="794" activeTab="2" xr2:uid="{00000000-000D-0000-FFFF-FFFF00000000}"/>
  </bookViews>
  <sheets>
    <sheet name="Instructions 2025" sheetId="60" r:id="rId1"/>
    <sheet name="Instructions" sheetId="58" state="hidden" r:id="rId2"/>
    <sheet name="Start page" sheetId="44" r:id="rId3"/>
    <sheet name="Ex1" sheetId="64" state="hidden" r:id="rId4"/>
    <sheet name="Example1" sheetId="66" r:id="rId5"/>
    <sheet name="Ex2" sheetId="65" state="hidden" r:id="rId6"/>
    <sheet name="Example2" sheetId="67" r:id="rId7"/>
    <sheet name="Jan" sheetId="42" r:id="rId8"/>
    <sheet name="Feb" sheetId="46" r:id="rId9"/>
    <sheet name="Mar" sheetId="47" r:id="rId10"/>
    <sheet name="Apr" sheetId="48" r:id="rId11"/>
    <sheet name="May" sheetId="49" r:id="rId12"/>
    <sheet name="Jun" sheetId="50" r:id="rId13"/>
    <sheet name="Jul" sheetId="51" r:id="rId14"/>
    <sheet name="Aug" sheetId="52" r:id="rId15"/>
    <sheet name="Sep" sheetId="53" r:id="rId16"/>
    <sheet name="Oct" sheetId="54" r:id="rId17"/>
    <sheet name="Nov" sheetId="55" r:id="rId18"/>
    <sheet name="Dec" sheetId="56" r:id="rId19"/>
    <sheet name="Definitions" sheetId="45" state="hidden" r:id="rId20"/>
    <sheet name="_56F9DC9755BA473782653E2940F9" sheetId="62" state="veryHidden" r:id="rId21"/>
    <sheet name="Overview" sheetId="57" r:id="rId22"/>
    <sheet name="Holidays" sheetId="39" r:id="rId23"/>
  </sheets>
  <definedNames>
    <definedName name="_56F9DC9755BA473782653E2940F9FormId">"8e73v0vPMk--PaHdoEPAXejFCr5kM85NrAK7odparQZUQlpLWlVOVDRNUVU2NERTRFg1TDFIUEM3Qi4u"</definedName>
    <definedName name="_56F9DC9755BA473782653E2940F9ResponseSheet">"Form1"</definedName>
    <definedName name="_56F9DC9755BA473782653E2940F9SourceDocId">"{62cc1674-581e-4490-ac44-3f97ea249b86}"</definedName>
    <definedName name="Activity">Definitions!$D$3:$D$8</definedName>
    <definedName name="Activity.01">'Start page'!$L$8</definedName>
    <definedName name="Activity.02">'Start page'!$L$9</definedName>
    <definedName name="Activity.03">'Start page'!$L$10</definedName>
    <definedName name="Activity.04">'Start page'!$L$11</definedName>
    <definedName name="Activity.05">'Start page'!$L$12</definedName>
    <definedName name="Activity.06">'Start page'!$L$13</definedName>
    <definedName name="Activity.07">'Start page'!$L$14</definedName>
    <definedName name="Activity.08">'Start page'!$L$15</definedName>
    <definedName name="Activity.09">'Start page'!$L$16</definedName>
    <definedName name="Activity.10">'Start page'!$L$17</definedName>
    <definedName name="Activity.11">'Start page'!$L$18</definedName>
    <definedName name="Activity.12">'Start page'!$L$19</definedName>
    <definedName name="Activity.13">'Start page'!$L$20</definedName>
    <definedName name="Activity.14">'Start page'!$L$21</definedName>
    <definedName name="Activity.15">'Start page'!$L$22</definedName>
    <definedName name="Activity.16">'Start page'!$L$23</definedName>
    <definedName name="Activity.17">'Start page'!$L$24</definedName>
    <definedName name="Activity.18">'Start page'!$L$25</definedName>
    <definedName name="Activity.19">'Start page'!$L$26</definedName>
    <definedName name="Activity.20">'Start page'!$L$17</definedName>
    <definedName name="AloxÅr" localSheetId="2" hidden="1">'Start page'!#REF!</definedName>
    <definedName name="AloxÅr" hidden="1">'Start page'!$K$3</definedName>
    <definedName name="Apr.Tot.Annualnew">Apr!#REF!</definedName>
    <definedName name="Apr.Tot.Illness">Apr!#REF!</definedName>
    <definedName name="Apr.Tot.Parentalnew">Apr!#REF!</definedName>
    <definedName name="Apr.Tot.Special">Apr!#REF!</definedName>
    <definedName name="AprTot.01">Apr!$AI$4</definedName>
    <definedName name="AprTot.02">Apr!$AI$5</definedName>
    <definedName name="AprTot.03">Apr!$AI$6</definedName>
    <definedName name="AprTot.04">Apr!$AI$7</definedName>
    <definedName name="AprTot.05">Apr!$AI$8</definedName>
    <definedName name="AprTot.06">Apr!$AI$9</definedName>
    <definedName name="AprTot.07">Apr!$AI$10</definedName>
    <definedName name="AprTot.08">Apr!$AI$11</definedName>
    <definedName name="AprTot.09">Apr!$AI$12</definedName>
    <definedName name="AprTot.10">Apr!$AI$13</definedName>
    <definedName name="AprTot.11">Apr!$AI$14</definedName>
    <definedName name="AprTot.12">Apr!$AI$15</definedName>
    <definedName name="AprTot.13">Apr!$AI$16</definedName>
    <definedName name="AprTot.14">Apr!$AI$17</definedName>
    <definedName name="AprTot.15">Apr!$AI$18</definedName>
    <definedName name="AprTot.16">Apr!$AI$19</definedName>
    <definedName name="AprTot.17">Apr!$AI$20</definedName>
    <definedName name="AprTot.18">Apr!$AI$21</definedName>
    <definedName name="AprTot.19">Apr!$AI$22</definedName>
    <definedName name="AprTot.20">Apr!$AI$23</definedName>
    <definedName name="Aug.Tot.Annualnew">Aug!#REF!</definedName>
    <definedName name="Aug.Tot.Illness">Aug!#REF!</definedName>
    <definedName name="Aug.Tot.Parentalnew">Aug!#REF!</definedName>
    <definedName name="Aug.Tot.Special">Aug!#REF!</definedName>
    <definedName name="AugTot.01">Aug!$AI$4</definedName>
    <definedName name="AugTot.02">Aug!$AI$5</definedName>
    <definedName name="AugTot.03">Aug!$AI$6</definedName>
    <definedName name="AugTot.04">Aug!$AI$7</definedName>
    <definedName name="AugTot.05">Aug!$AI$8</definedName>
    <definedName name="AugTot.06">Aug!$AI$9</definedName>
    <definedName name="AugTot.07">Aug!$AI$10</definedName>
    <definedName name="AugTot.08">Aug!$AI$11</definedName>
    <definedName name="AugTot.09">Aug!$AI$12</definedName>
    <definedName name="AugTot.10">Aug!$AI$13</definedName>
    <definedName name="AugTot.11">Aug!$AI$14</definedName>
    <definedName name="AugTot.12">Aug!$AI$15</definedName>
    <definedName name="AugTot.13">Aug!$AI$16</definedName>
    <definedName name="AugTot.14">Aug!$AI$17</definedName>
    <definedName name="AugTot.15">Aug!$AI$18</definedName>
    <definedName name="AugTot.16">Aug!$AI$19</definedName>
    <definedName name="AugTot.17">Aug!$AI$20</definedName>
    <definedName name="AugTot.18">Aug!$AI$21</definedName>
    <definedName name="AugTot.19">Aug!$AI$22</definedName>
    <definedName name="AugTot.20">Aug!$AI$23</definedName>
    <definedName name="Contract.01">'Start page'!$H$8</definedName>
    <definedName name="Contract.02">'Start page'!$H$9</definedName>
    <definedName name="Contract.03">'Start page'!$H$10</definedName>
    <definedName name="Contract.04">'Start page'!$H$11</definedName>
    <definedName name="Contract.05">'Start page'!$H$12</definedName>
    <definedName name="Contract.06">'Start page'!$H$13</definedName>
    <definedName name="Contract.07">'Start page'!$H$14</definedName>
    <definedName name="Contract.08">'Start page'!$H$15</definedName>
    <definedName name="Contract.09">'Start page'!$H$16</definedName>
    <definedName name="Contract.10">'Start page'!$H$17</definedName>
    <definedName name="Contract.11">'Start page'!$H$18</definedName>
    <definedName name="Contract.12">'Start page'!$H$19</definedName>
    <definedName name="Contract.13">'Start page'!$H$20</definedName>
    <definedName name="Contract.14">'Start page'!$H$21</definedName>
    <definedName name="Contract.15">'Start page'!$H$22</definedName>
    <definedName name="Contract.16">'Start page'!$H$23</definedName>
    <definedName name="Contract.17">'Start page'!$H$24</definedName>
    <definedName name="Contract.18">'Start page'!$H$25</definedName>
    <definedName name="Contract.19">'Start page'!$H$26</definedName>
    <definedName name="Contract.20">'Start page'!$H$27</definedName>
    <definedName name="Dec.Tot.Annualnew">Dec!#REF!</definedName>
    <definedName name="Dec.Tot.Illness">Dec!#REF!</definedName>
    <definedName name="Dec.Tot.Parentalnew">Dec!#REF!</definedName>
    <definedName name="Dec.Tot.Special">Dec!#REF!</definedName>
    <definedName name="DecTot.01">Dec!$AI$4</definedName>
    <definedName name="DecTot.02">Dec!$AI$5</definedName>
    <definedName name="DecTot.03">Dec!$AI$6</definedName>
    <definedName name="DecTot.04">Dec!$AI$7</definedName>
    <definedName name="DecTot.05">Dec!$AI$8</definedName>
    <definedName name="DecTot.06">Dec!$AI$9</definedName>
    <definedName name="DecTot.07">Dec!$AI$10</definedName>
    <definedName name="DecTot.08">Dec!$AI$11</definedName>
    <definedName name="DecTot.09">Dec!$AI$12</definedName>
    <definedName name="DecTot.10">Dec!$AI$13</definedName>
    <definedName name="DecTot.11">Dec!$AI$14</definedName>
    <definedName name="DecTot.12">Dec!$AI$15</definedName>
    <definedName name="DecTot.13">Dec!$AI$16</definedName>
    <definedName name="DecTot.14">Dec!$AI$17</definedName>
    <definedName name="DecTot.15">Dec!$AI$18</definedName>
    <definedName name="DecTot.16">Dec!$AI$19</definedName>
    <definedName name="DecTot.17">Dec!$AI$20</definedName>
    <definedName name="DecTot.18">Dec!$AI$21</definedName>
    <definedName name="DecTot.19">Dec!$AI$22</definedName>
    <definedName name="DecTot.20">Dec!$AI$23</definedName>
    <definedName name="Feb.Tot.Annualnew">Feb!#REF!</definedName>
    <definedName name="Feb.Tot.Illness">Feb!#REF!</definedName>
    <definedName name="Feb.Tot.Parentalnew">Feb!#REF!</definedName>
    <definedName name="Feb.Tot.Special">Feb!#REF!</definedName>
    <definedName name="FebTot.01">Feb!$AI$4</definedName>
    <definedName name="FebTot.02">Feb!$AI$5</definedName>
    <definedName name="FebTot.03">Feb!$AI$6</definedName>
    <definedName name="FebTot.04">Feb!$AI$7</definedName>
    <definedName name="FebTot.05">Feb!$AI$8</definedName>
    <definedName name="FebTot.06">Feb!$AI$9</definedName>
    <definedName name="FebTot.07">Feb!$AI$10</definedName>
    <definedName name="FebTot.08">Feb!$AI$11</definedName>
    <definedName name="FebTot.09">Feb!$AI$12</definedName>
    <definedName name="FebTot.10">Feb!$AI$13</definedName>
    <definedName name="FebTot.11">Feb!$AI$14</definedName>
    <definedName name="FebTot.12">Feb!$AI$15</definedName>
    <definedName name="FebTot.13">Feb!$AI$16</definedName>
    <definedName name="FebTot.14">Feb!$AI$17</definedName>
    <definedName name="FebTot.15">Feb!$AI$18</definedName>
    <definedName name="FebTot.16">Feb!$AI$19</definedName>
    <definedName name="FebTot.17">Feb!$AI$20</definedName>
    <definedName name="FebTot.18">Feb!$AI$21</definedName>
    <definedName name="FebTot.19">Feb!$AI$22</definedName>
    <definedName name="FebTot.20">Feb!$AI$23</definedName>
    <definedName name="FebTot.7">Feb!$AI$10</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"06/25/2015 11:33:56"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an.Tot.Annualnew">Jan!#REF!</definedName>
    <definedName name="Jan.Tot.Illness">Jan!#REF!</definedName>
    <definedName name="Jan.Tot.Parentalnew">Jan!#REF!</definedName>
    <definedName name="Jan.Tot.Special">Jan!#REF!</definedName>
    <definedName name="JanTot.01">Jan!$AI$4</definedName>
    <definedName name="JanTot.02">Jan!$AI$5</definedName>
    <definedName name="JanTot.03">Jan!$AI$6</definedName>
    <definedName name="JanTot.04">Jan!$AI$7</definedName>
    <definedName name="JanTot.05">Jan!$AI$8</definedName>
    <definedName name="JanTot.06">Jan!$AI$9</definedName>
    <definedName name="JanTot.07">Jan!$AI$10</definedName>
    <definedName name="JanTot.08">Jan!$AI$11</definedName>
    <definedName name="JanTot.09">Jan!$AI$12</definedName>
    <definedName name="JanTot.10">Jan!$AI$13</definedName>
    <definedName name="JanTot.11">Jan!$AI$14</definedName>
    <definedName name="JanTot.12">Jan!$AI$15</definedName>
    <definedName name="JanTot.13">Jan!$AI$16</definedName>
    <definedName name="JanTot.14">Jan!$AI$17</definedName>
    <definedName name="JanTot.15">Jan!$AI$18</definedName>
    <definedName name="JanTot.16">Jan!$AI$19</definedName>
    <definedName name="JanTot.17">Jan!$AI$20</definedName>
    <definedName name="JanTot.18">Jan!$AI$21</definedName>
    <definedName name="JanTot.19">Jan!$AI$22</definedName>
    <definedName name="JanTot.20">Jan!$AI$23</definedName>
    <definedName name="Jul.Tot.Annualnew">Jul!#REF!</definedName>
    <definedName name="Jul.Tot.Illness">Jul!#REF!</definedName>
    <definedName name="Jul.Tot.Parentalnew">Jul!#REF!</definedName>
    <definedName name="Jul.Tot.Special">Jul!#REF!</definedName>
    <definedName name="JulTot.01">Jul!$AI$4</definedName>
    <definedName name="JulTot.02">Jul!$AI$5</definedName>
    <definedName name="JulTot.03">Jul!$AI$6</definedName>
    <definedName name="JulTot.04">Jul!$AI$7</definedName>
    <definedName name="JulTot.05">Jul!$AI$8</definedName>
    <definedName name="JulTot.06">Jul!$AI$9</definedName>
    <definedName name="JulTot.07">Jul!$AI$10</definedName>
    <definedName name="JulTot.08">Jul!$AI$11</definedName>
    <definedName name="JulTot.09">Jul!$AI$12</definedName>
    <definedName name="JulTot.10">Jul!$AI$13</definedName>
    <definedName name="JulTot.11">Jul!$AI$14</definedName>
    <definedName name="JulTot.12">Jul!$AI$15</definedName>
    <definedName name="JulTot.13">Jul!$AI$16</definedName>
    <definedName name="JulTot.14">Jul!$AI$17</definedName>
    <definedName name="JulTot.15">Jul!$AI$18</definedName>
    <definedName name="JulTot.16">Jul!$AI$19</definedName>
    <definedName name="JulTot.17">Jul!$AI$20</definedName>
    <definedName name="JulTot.18">Jul!$AI$21</definedName>
    <definedName name="JulTot.19">Jul!$AI$22</definedName>
    <definedName name="JulTot.20">Jul!$AI$23</definedName>
    <definedName name="Jun.Tot.Annualnew">Jun!#REF!</definedName>
    <definedName name="Jun.Tot.Illness">Jun!#REF!</definedName>
    <definedName name="Jun.Tot.Parentalnew">Jun!#REF!</definedName>
    <definedName name="Jun.Tot.Special">Jun!#REF!</definedName>
    <definedName name="JunTot.01">Jun!$AI$4</definedName>
    <definedName name="JunTot.02">Jun!$AI$5</definedName>
    <definedName name="JunTot.03">Jun!$AI$6</definedName>
    <definedName name="JunTot.04">Jun!$AI$7</definedName>
    <definedName name="JunTot.05">Jun!$AI$8</definedName>
    <definedName name="JunTot.06">Jun!$AI$9</definedName>
    <definedName name="JunTot.07">Jun!$AI$10</definedName>
    <definedName name="JunTot.08">Jun!$AI$11</definedName>
    <definedName name="JunTot.09">Jun!$AI$12</definedName>
    <definedName name="JunTot.10">Jun!$AI$13</definedName>
    <definedName name="JunTot.11">Jun!$AI$14</definedName>
    <definedName name="JunTot.12">Jun!$AI$15</definedName>
    <definedName name="JunTot.13">Jun!$AI$16</definedName>
    <definedName name="JunTot.14">Jun!$AI$17</definedName>
    <definedName name="JunTot.15">Jun!$AI$18</definedName>
    <definedName name="JunTot.16">Jun!$AI$19</definedName>
    <definedName name="JunTot.17">Jun!$AI$20</definedName>
    <definedName name="JunTot.18">Jun!$AI$21</definedName>
    <definedName name="JunTot.19">Jun!$AI$22</definedName>
    <definedName name="JunTot.20">Jun!$AI$23</definedName>
    <definedName name="KI">'Start page'!$D$3</definedName>
    <definedName name="Mar.Tot.Annualnew">Mar!#REF!</definedName>
    <definedName name="Mar.Tot.Illness">Mar!#REF!</definedName>
    <definedName name="Mar.Tot.Parentalnew">Mar!#REF!</definedName>
    <definedName name="Mar.Tot.Special">Mar!#REF!</definedName>
    <definedName name="MarTot.01">Mar!$AI$4</definedName>
    <definedName name="MarTot.02">Mar!$AI$5</definedName>
    <definedName name="MarTot.03">Mar!$AI$6</definedName>
    <definedName name="MarTot.04">Mar!$AI$7</definedName>
    <definedName name="MarTot.05">Mar!$AI$8</definedName>
    <definedName name="MarTot.06">Mar!$AI$9</definedName>
    <definedName name="MarTot.07">Mar!$AI$10</definedName>
    <definedName name="MarTot.08">Mar!$AI$11</definedName>
    <definedName name="MarTot.09">Mar!$AI$12</definedName>
    <definedName name="MarTot.10">Mar!$AI$13</definedName>
    <definedName name="MarTot.11">Mar!$AI$14</definedName>
    <definedName name="MarTot.12">Mar!$AI$15</definedName>
    <definedName name="MarTot.13">Mar!$AI$16</definedName>
    <definedName name="MarTot.14">Mar!$AI$17</definedName>
    <definedName name="MarTot.15">Mar!$AI$18</definedName>
    <definedName name="MarTot.16">Mar!$AI$19</definedName>
    <definedName name="MarTot.17">Mar!$AI$20</definedName>
    <definedName name="MarTot.18">Mar!$AI$21</definedName>
    <definedName name="MarTot.19">Mar!$AI$22</definedName>
    <definedName name="MarTot.20">Mar!$AI$23</definedName>
    <definedName name="May.Tot.Annualnew">May!#REF!</definedName>
    <definedName name="May.Tot.Illness">May!#REF!</definedName>
    <definedName name="May.Tot.Parentalnew">May!#REF!</definedName>
    <definedName name="May.Tot.Special">May!#REF!</definedName>
    <definedName name="MayTot.01">May!$AI$4</definedName>
    <definedName name="MayTot.02">May!$AI$5</definedName>
    <definedName name="MayTot.03">May!$AI$6</definedName>
    <definedName name="MayTot.04">May!$AI$7</definedName>
    <definedName name="MayTot.05">May!$AI$8</definedName>
    <definedName name="MayTot.06">May!$AI$9</definedName>
    <definedName name="MayTot.07">May!$AI$10</definedName>
    <definedName name="MayTot.08">May!$AI$11</definedName>
    <definedName name="MayTot.09">May!$AI$12</definedName>
    <definedName name="MayTot.10">May!$AI$13</definedName>
    <definedName name="MayTot.11">May!$AI$14</definedName>
    <definedName name="MayTot.12">May!$AI$15</definedName>
    <definedName name="MayTot.13">May!$AI$16</definedName>
    <definedName name="MayTot.14">May!$AI$17</definedName>
    <definedName name="MayTot.15">May!$AI$18</definedName>
    <definedName name="MayTot.16">May!$AI$19</definedName>
    <definedName name="MayTot.17">May!$AI$20</definedName>
    <definedName name="MayTot.18">May!$AI$21</definedName>
    <definedName name="MayTot.19">May!$AI$22</definedName>
    <definedName name="MayTot.20">May!$AI$23</definedName>
    <definedName name="Member">'Start page'!$D$4</definedName>
    <definedName name="Nov.Tot.Annualnew">Nov!#REF!</definedName>
    <definedName name="Nov.Tot.Illness">Nov!#REF!</definedName>
    <definedName name="Nov.Tot.Parentalnew">Nov!#REF!</definedName>
    <definedName name="Nov.Tot.Special">Nov!#REF!</definedName>
    <definedName name="NovTot.01">Nov!$AI$4</definedName>
    <definedName name="NovTot.02">Nov!$AI$5</definedName>
    <definedName name="NovTot.03">Nov!$AI$6</definedName>
    <definedName name="NovTot.04">Nov!$AI$7</definedName>
    <definedName name="NovTot.05">Nov!$AI$8</definedName>
    <definedName name="NovTot.06">Nov!$AI$9</definedName>
    <definedName name="NovTot.07">Nov!$AI$10</definedName>
    <definedName name="NovTot.08">Nov!$AI$11</definedName>
    <definedName name="NovTot.09">Nov!$AI$12</definedName>
    <definedName name="NovTot.10">Nov!$AI$13</definedName>
    <definedName name="NovTot.11">Nov!$AI$14</definedName>
    <definedName name="NovTot.12">Nov!$AI$15</definedName>
    <definedName name="NovTot.13">Nov!$AI$16</definedName>
    <definedName name="NovTot.14">Nov!$AI$17</definedName>
    <definedName name="NovTot.15">Nov!$AI$18</definedName>
    <definedName name="NovTot.16">Nov!$AI$19</definedName>
    <definedName name="NovTot.17">Nov!$AI$20</definedName>
    <definedName name="NovTot.18">Nov!$AI$21</definedName>
    <definedName name="NovTot.19">Nov!$AI$22</definedName>
    <definedName name="NovTot.20">Nov!$AI$23</definedName>
    <definedName name="Oct.Tot.Annualnew">Oct!#REF!</definedName>
    <definedName name="Oct.Tot.Illness">Oct!#REF!</definedName>
    <definedName name="Oct.Tot.Parentalnew">Oct!#REF!</definedName>
    <definedName name="Oct.Tot.Special">Oct!#REF!</definedName>
    <definedName name="OctTot.01">Oct!$AI$4</definedName>
    <definedName name="OctTot.02">Oct!$AI$5</definedName>
    <definedName name="OctTot.03">Oct!$AI$6</definedName>
    <definedName name="OctTot.04">Oct!$AI$7</definedName>
    <definedName name="OctTot.05">Oct!$AI$8</definedName>
    <definedName name="OctTot.06">Oct!$AI$9</definedName>
    <definedName name="OctTot.07">Oct!$AI$10</definedName>
    <definedName name="OctTot.08">Oct!$AI$11</definedName>
    <definedName name="OctTot.09">Oct!$AI$12</definedName>
    <definedName name="OctTot.10">Oct!$AI$13</definedName>
    <definedName name="OctTot.11">Oct!$AI$14</definedName>
    <definedName name="OctTot.12">Oct!$AI$15</definedName>
    <definedName name="OctTot.13">Oct!$AI$16</definedName>
    <definedName name="OctTot.14">Oct!$AI$17</definedName>
    <definedName name="OctTot.15">Oct!$AI$18</definedName>
    <definedName name="OctTot.16">Oct!$AI$19</definedName>
    <definedName name="OctTot.17">Oct!$AI$20</definedName>
    <definedName name="OctTot.18">Oct!$AI$21</definedName>
    <definedName name="OctTot.19">Oct!$AI$22</definedName>
    <definedName name="OctTot.20">Oct!$AI$23</definedName>
    <definedName name="Program">Definitions!$B$3:$B$11</definedName>
    <definedName name="Project.01">'Start page'!$D$8</definedName>
    <definedName name="Project.02">'Start page'!$D$9</definedName>
    <definedName name="Project.03">'Start page'!$D$10</definedName>
    <definedName name="Project.04">'Start page'!$D$11</definedName>
    <definedName name="Project.05">'Start page'!$D$12</definedName>
    <definedName name="Project.06">'Start page'!$D$13</definedName>
    <definedName name="Project.07">'Start page'!$D$14</definedName>
    <definedName name="Project.08">'Start page'!$D$15</definedName>
    <definedName name="Project.09">'Start page'!$D$16</definedName>
    <definedName name="Project.10">'Start page'!$D$17</definedName>
    <definedName name="Project.11">'Start page'!$D$18</definedName>
    <definedName name="Project.12">'Start page'!$D$19</definedName>
    <definedName name="Project.13">'Start page'!$D$20</definedName>
    <definedName name="Project.14">'Start page'!$D$21</definedName>
    <definedName name="Project.15">'Start page'!$D$22</definedName>
    <definedName name="Project.16">'Start page'!$D$23</definedName>
    <definedName name="Project.17">'Start page'!$D$24</definedName>
    <definedName name="Project.18">'Start page'!$D$25</definedName>
    <definedName name="Project.19">'Start page'!$D$26</definedName>
    <definedName name="Project.20">'Start page'!$D$27</definedName>
    <definedName name="Sep.Tot.Annualnew">Sep!#REF!</definedName>
    <definedName name="Sep.Tot.Illness">Sep!#REF!</definedName>
    <definedName name="Sep.Tot.Parentalnew">Sep!#REF!</definedName>
    <definedName name="Sep.Tot.Special">Sep!#REF!</definedName>
    <definedName name="SepTot.01">Sep!$AI$4</definedName>
    <definedName name="SepTot.02">Sep!$AI$5</definedName>
    <definedName name="SepTot.03">Sep!$AI$6</definedName>
    <definedName name="SepTot.04">Sep!$AI$7</definedName>
    <definedName name="SepTot.05">Sep!$AI$8</definedName>
    <definedName name="SepTot.06">Sep!$AI$9</definedName>
    <definedName name="SepTot.07">Sep!$AI$10</definedName>
    <definedName name="SepTot.08">Sep!$AI$11</definedName>
    <definedName name="SepTot.09">Sep!$AI$12</definedName>
    <definedName name="SepTot.10">Sep!$AI$13</definedName>
    <definedName name="SepTot.11">Sep!$AI$14</definedName>
    <definedName name="SepTot.12">Sep!$AI$15</definedName>
    <definedName name="SepTot.13">Sep!$AI$16</definedName>
    <definedName name="SepTot.14">Sep!$AI$17</definedName>
    <definedName name="SepTot.15">Sep!$AI$18</definedName>
    <definedName name="SepTot.16">Sep!$AI$19</definedName>
    <definedName name="SepTot.17">Sep!$AI$20</definedName>
    <definedName name="SepTot.18">Sep!$AI$21</definedName>
    <definedName name="SepTot.19">Sep!$AI$22</definedName>
    <definedName name="SepTot.20">Sep!$AI$23</definedName>
    <definedName name="Supervisor">'Start page'!$D$5</definedName>
    <definedName name="Title.member">'Start page'!$Q$4</definedName>
    <definedName name="Title.supervisor">'Start page'!$Q$5</definedName>
    <definedName name="Type.01">'Start page'!$J$8</definedName>
    <definedName name="Type.02">'Start page'!$J$9</definedName>
    <definedName name="Type.03">'Start page'!$J$10</definedName>
    <definedName name="Type.04">'Start page'!$J$11</definedName>
    <definedName name="Type.05">'Start page'!$J$12</definedName>
    <definedName name="Type.06">'Start page'!$J$13</definedName>
    <definedName name="Type.07">'Start page'!$J$14</definedName>
    <definedName name="Type.08">'Start page'!$J$15</definedName>
    <definedName name="Type.09">'Start page'!$J$16</definedName>
    <definedName name="Type.10">'Start page'!$J$17</definedName>
    <definedName name="Type.11">'Start page'!$J$18</definedName>
    <definedName name="Type.12">'Start page'!$J$19</definedName>
    <definedName name="Type.13">'Start page'!$J$20</definedName>
    <definedName name="Type.14">'Start page'!$J$21</definedName>
    <definedName name="Type.15">'Start page'!$J$22</definedName>
    <definedName name="Type.16">'Start page'!$J$23</definedName>
    <definedName name="Type.17">'Start page'!$J$24</definedName>
    <definedName name="Type.18">'Start page'!$J$25</definedName>
    <definedName name="Type.19">'Start page'!$J$26</definedName>
    <definedName name="Type.20">'Start page'!$J$27</definedName>
    <definedName name="_xlnm.Print_Area" localSheetId="10">Apr!$B$1:$AL$43</definedName>
    <definedName name="_xlnm.Print_Area" localSheetId="14">Aug!$B$1:$AL$43</definedName>
    <definedName name="_xlnm.Print_Area" localSheetId="18">Dec!$B$1:$AL$43</definedName>
    <definedName name="_xlnm.Print_Area" localSheetId="8">Feb!$B$1:$AL$43</definedName>
    <definedName name="_xlnm.Print_Area" localSheetId="1">Instructions!$A$1:$I$34</definedName>
    <definedName name="_xlnm.Print_Area" localSheetId="7">Jan!$B$1:$AL$43</definedName>
    <definedName name="_xlnm.Print_Area" localSheetId="13">Jul!$B$1:$AL$43</definedName>
    <definedName name="_xlnm.Print_Area" localSheetId="12">Jun!$B$1:$AL$43</definedName>
    <definedName name="_xlnm.Print_Area" localSheetId="9">Mar!$B$1:$AL$43</definedName>
    <definedName name="_xlnm.Print_Area" localSheetId="11">May!$B$1:$AL$43</definedName>
    <definedName name="_xlnm.Print_Area" localSheetId="17">Nov!$B$1:$AL$43</definedName>
    <definedName name="_xlnm.Print_Area" localSheetId="16">Oct!$B$1:$AL$43</definedName>
    <definedName name="_xlnm.Print_Area" localSheetId="21">Overview!$B$1:$R$33</definedName>
    <definedName name="_xlnm.Print_Area" localSheetId="15">Sep!$B$1:$AL$43</definedName>
    <definedName name="_xlnm.Print_Area" localSheetId="2">'Start page'!$B$1:$AG$28</definedName>
    <definedName name="WP.01">'Start page'!$F$8</definedName>
    <definedName name="WP.02">'Start page'!$F$9</definedName>
    <definedName name="WP.03">'Start page'!$F$10</definedName>
    <definedName name="WP.04">'Start page'!$F$11</definedName>
    <definedName name="WP.05">'Start page'!$F$12</definedName>
    <definedName name="WP.06">'Start page'!$F$13</definedName>
    <definedName name="WP.07">'Start page'!$F$14</definedName>
    <definedName name="WP.08">'Start page'!$F$15</definedName>
    <definedName name="WP.09">'Start page'!$F$16</definedName>
    <definedName name="WP.10">'Start page'!$F$17</definedName>
    <definedName name="WP.11">'Start page'!$F$18</definedName>
    <definedName name="WP.12">'Start page'!$F$19</definedName>
    <definedName name="WP.13">'Start page'!$F$20</definedName>
    <definedName name="WP.14">'Start page'!$F$21</definedName>
    <definedName name="WP.15">'Start page'!$F$22</definedName>
    <definedName name="WP.16">'Start page'!$F$23</definedName>
    <definedName name="WP.17">'Start page'!$F$24</definedName>
    <definedName name="WP.18">'Start page'!$F$25</definedName>
    <definedName name="WP.19">'Start page'!$F$26</definedName>
    <definedName name="WP.20">'Start page'!$F$27</definedName>
    <definedName name="WP.list">Definitions!$F$3:$F$104</definedName>
    <definedName name="Year">'Start page'!$K$3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26" i="44" l="1"/>
  <c r="AB25" i="44"/>
  <c r="AB24" i="44"/>
  <c r="AB23" i="44"/>
  <c r="AB22" i="44"/>
  <c r="AB21" i="44"/>
  <c r="AB20" i="44"/>
  <c r="AB19" i="44"/>
  <c r="AB18" i="44"/>
  <c r="AB17" i="44"/>
  <c r="AB16" i="44"/>
  <c r="AB15" i="44"/>
  <c r="AB14" i="44"/>
  <c r="AB13" i="44"/>
  <c r="AB12" i="44"/>
  <c r="AB11" i="44"/>
  <c r="AB10" i="44"/>
  <c r="AB9" i="44"/>
  <c r="AB8" i="44"/>
  <c r="B1" i="39"/>
  <c r="AI4" i="46"/>
  <c r="B4" i="42"/>
  <c r="C30" i="66"/>
  <c r="C29" i="66"/>
  <c r="D2" i="66" s="1"/>
  <c r="C6" i="66"/>
  <c r="AK24" i="55" l="1"/>
  <c r="AK23" i="55"/>
  <c r="AK22" i="55"/>
  <c r="AK21" i="55"/>
  <c r="AK20" i="55"/>
  <c r="AK19" i="55"/>
  <c r="AK18" i="55"/>
  <c r="AK17" i="55"/>
  <c r="AK16" i="55"/>
  <c r="AK15" i="55"/>
  <c r="AK14" i="55"/>
  <c r="AK13" i="55"/>
  <c r="AK12" i="55"/>
  <c r="AK11" i="55"/>
  <c r="AK10" i="55"/>
  <c r="AK9" i="55"/>
  <c r="AK8" i="55"/>
  <c r="AK7" i="55"/>
  <c r="AK6" i="55"/>
  <c r="AK5" i="55"/>
  <c r="AK4" i="55"/>
  <c r="AK24" i="54"/>
  <c r="AK23" i="54"/>
  <c r="AK22" i="54"/>
  <c r="AK21" i="54"/>
  <c r="AK20" i="54"/>
  <c r="AK19" i="54"/>
  <c r="AK18" i="54"/>
  <c r="AK17" i="54"/>
  <c r="AK16" i="54"/>
  <c r="AK15" i="54"/>
  <c r="AK14" i="54"/>
  <c r="AK13" i="54"/>
  <c r="AK12" i="54"/>
  <c r="AK11" i="54"/>
  <c r="AK10" i="54"/>
  <c r="AK9" i="54"/>
  <c r="AK8" i="54"/>
  <c r="AK7" i="54"/>
  <c r="AK6" i="54"/>
  <c r="AK5" i="54"/>
  <c r="AK4" i="54"/>
  <c r="AK24" i="53"/>
  <c r="AK23" i="53"/>
  <c r="AK22" i="53"/>
  <c r="AK21" i="53"/>
  <c r="AK20" i="53"/>
  <c r="AK19" i="53"/>
  <c r="AK18" i="53"/>
  <c r="AK17" i="53"/>
  <c r="AK16" i="53"/>
  <c r="AK15" i="53"/>
  <c r="AK14" i="53"/>
  <c r="AK13" i="53"/>
  <c r="AK12" i="53"/>
  <c r="AK11" i="53"/>
  <c r="AK10" i="53"/>
  <c r="AK9" i="53"/>
  <c r="AK8" i="53"/>
  <c r="AK7" i="53"/>
  <c r="AK6" i="53"/>
  <c r="AK5" i="53"/>
  <c r="AK4" i="53"/>
  <c r="AK24" i="52"/>
  <c r="AK23" i="52"/>
  <c r="AK22" i="52"/>
  <c r="AK21" i="52"/>
  <c r="AK20" i="52"/>
  <c r="AK19" i="52"/>
  <c r="AK18" i="52"/>
  <c r="AK17" i="52"/>
  <c r="AK16" i="52"/>
  <c r="AK15" i="52"/>
  <c r="AK14" i="52"/>
  <c r="AK13" i="52"/>
  <c r="AK12" i="52"/>
  <c r="AK11" i="52"/>
  <c r="AK10" i="52"/>
  <c r="AK9" i="52"/>
  <c r="AK8" i="52"/>
  <c r="AK7" i="52"/>
  <c r="AK6" i="52"/>
  <c r="AK5" i="52"/>
  <c r="AK4" i="52"/>
  <c r="AK24" i="50"/>
  <c r="AK23" i="50"/>
  <c r="AK22" i="50"/>
  <c r="AK21" i="50"/>
  <c r="AK20" i="50"/>
  <c r="AK19" i="50"/>
  <c r="AK18" i="50"/>
  <c r="AK17" i="50"/>
  <c r="AK16" i="50"/>
  <c r="AK15" i="50"/>
  <c r="AK14" i="50"/>
  <c r="AK13" i="50"/>
  <c r="AK12" i="50"/>
  <c r="AK11" i="50"/>
  <c r="AK10" i="50"/>
  <c r="AK9" i="50"/>
  <c r="AK8" i="50"/>
  <c r="AK7" i="50"/>
  <c r="AK6" i="50"/>
  <c r="AK5" i="50"/>
  <c r="AK4" i="50"/>
  <c r="AK24" i="49"/>
  <c r="AK23" i="49"/>
  <c r="AK22" i="49"/>
  <c r="AK21" i="49"/>
  <c r="AK20" i="49"/>
  <c r="AK19" i="49"/>
  <c r="AK18" i="49"/>
  <c r="AK17" i="49"/>
  <c r="AK16" i="49"/>
  <c r="AK15" i="49"/>
  <c r="AK14" i="49"/>
  <c r="AK13" i="49"/>
  <c r="AK12" i="49"/>
  <c r="AK11" i="49"/>
  <c r="AK10" i="49"/>
  <c r="AK9" i="49"/>
  <c r="AK8" i="49"/>
  <c r="AK7" i="49"/>
  <c r="AK6" i="49"/>
  <c r="AK5" i="49"/>
  <c r="AK4" i="49"/>
  <c r="AK24" i="48"/>
  <c r="AK23" i="48"/>
  <c r="AK22" i="48"/>
  <c r="AK21" i="48"/>
  <c r="AK20" i="48"/>
  <c r="AK19" i="48"/>
  <c r="AK18" i="48"/>
  <c r="AK17" i="48"/>
  <c r="AK16" i="48"/>
  <c r="AK15" i="48"/>
  <c r="AK14" i="48"/>
  <c r="AK13" i="48"/>
  <c r="AK12" i="48"/>
  <c r="AK11" i="48"/>
  <c r="AK10" i="48"/>
  <c r="AK9" i="48"/>
  <c r="AK8" i="48"/>
  <c r="AK7" i="48"/>
  <c r="AK6" i="48"/>
  <c r="AK5" i="48"/>
  <c r="AK4" i="48"/>
  <c r="AK24" i="47"/>
  <c r="AK23" i="47"/>
  <c r="AK22" i="47"/>
  <c r="AK21" i="47"/>
  <c r="AK20" i="47"/>
  <c r="AK19" i="47"/>
  <c r="AK18" i="47"/>
  <c r="AK17" i="47"/>
  <c r="AK16" i="47"/>
  <c r="AK15" i="47"/>
  <c r="AK14" i="47"/>
  <c r="AK13" i="47"/>
  <c r="AK12" i="47"/>
  <c r="AK11" i="47"/>
  <c r="AK10" i="47"/>
  <c r="AK9" i="47"/>
  <c r="AK8" i="47"/>
  <c r="AK7" i="47"/>
  <c r="AK6" i="47"/>
  <c r="AK5" i="47"/>
  <c r="AK4" i="47"/>
  <c r="AK24" i="46"/>
  <c r="AK23" i="46"/>
  <c r="AK22" i="46"/>
  <c r="AK21" i="46"/>
  <c r="AK20" i="46"/>
  <c r="AK19" i="46"/>
  <c r="AK18" i="46"/>
  <c r="AK17" i="46"/>
  <c r="AK16" i="46"/>
  <c r="AK15" i="46"/>
  <c r="AK14" i="46"/>
  <c r="AK13" i="46"/>
  <c r="AK12" i="46"/>
  <c r="AK11" i="46"/>
  <c r="AK10" i="46"/>
  <c r="AK9" i="46"/>
  <c r="AK8" i="46"/>
  <c r="AK7" i="46"/>
  <c r="AK6" i="46"/>
  <c r="AK5" i="46"/>
  <c r="AK4" i="46"/>
  <c r="D28" i="56"/>
  <c r="E28" i="56"/>
  <c r="AK24" i="65"/>
  <c r="B15" i="65" l="1"/>
  <c r="B8" i="65"/>
  <c r="B4" i="65"/>
  <c r="C40" i="65"/>
  <c r="D35" i="65"/>
  <c r="B35" i="65"/>
  <c r="D34" i="65"/>
  <c r="B34" i="65"/>
  <c r="D33" i="65"/>
  <c r="B33" i="65"/>
  <c r="AH28" i="65"/>
  <c r="AG28" i="65"/>
  <c r="AD28" i="65"/>
  <c r="AC28" i="65"/>
  <c r="AB28" i="65"/>
  <c r="AA28" i="65"/>
  <c r="Z28" i="65"/>
  <c r="W28" i="65"/>
  <c r="V28" i="65"/>
  <c r="U28" i="65"/>
  <c r="T28" i="65"/>
  <c r="S28" i="65"/>
  <c r="P28" i="65"/>
  <c r="O28" i="65"/>
  <c r="N28" i="65"/>
  <c r="M28" i="65"/>
  <c r="L28" i="65"/>
  <c r="H28" i="65"/>
  <c r="G28" i="65"/>
  <c r="F28" i="65"/>
  <c r="E28" i="65"/>
  <c r="AG26" i="65"/>
  <c r="AF25" i="65"/>
  <c r="AE25" i="65"/>
  <c r="AD26" i="65"/>
  <c r="AC26" i="65"/>
  <c r="AB26" i="65"/>
  <c r="AB25" i="65" s="1"/>
  <c r="AA26" i="65"/>
  <c r="AA25" i="65" s="1"/>
  <c r="Z26" i="65"/>
  <c r="X25" i="65"/>
  <c r="W26" i="65"/>
  <c r="W25" i="65" s="1"/>
  <c r="V26" i="65"/>
  <c r="U26" i="65"/>
  <c r="T26" i="65"/>
  <c r="T25" i="65" s="1"/>
  <c r="S26" i="65"/>
  <c r="S25" i="65" s="1"/>
  <c r="P26" i="65"/>
  <c r="P25" i="65" s="1"/>
  <c r="O26" i="65"/>
  <c r="O25" i="65" s="1"/>
  <c r="N26" i="65"/>
  <c r="M26" i="65"/>
  <c r="L26" i="65"/>
  <c r="L25" i="65" s="1"/>
  <c r="K25" i="65"/>
  <c r="H26" i="65"/>
  <c r="H25" i="65" s="1"/>
  <c r="G26" i="65"/>
  <c r="F26" i="65"/>
  <c r="E26" i="65"/>
  <c r="D25" i="65"/>
  <c r="AH25" i="65"/>
  <c r="AG25" i="65"/>
  <c r="AD25" i="65"/>
  <c r="AC25" i="65"/>
  <c r="Z25" i="65"/>
  <c r="Y25" i="65"/>
  <c r="V25" i="65"/>
  <c r="U25" i="65"/>
  <c r="R25" i="65"/>
  <c r="Q25" i="65"/>
  <c r="N25" i="65"/>
  <c r="M25" i="65"/>
  <c r="J25" i="65"/>
  <c r="I25" i="65"/>
  <c r="F25" i="65"/>
  <c r="E25" i="65"/>
  <c r="AI24" i="65"/>
  <c r="AI23" i="65"/>
  <c r="AK23" i="65" s="1"/>
  <c r="AK22" i="65"/>
  <c r="AI22" i="65"/>
  <c r="B22" i="65"/>
  <c r="AK21" i="65"/>
  <c r="AI21" i="65"/>
  <c r="B21" i="65"/>
  <c r="AK20" i="65"/>
  <c r="AJ20" i="65"/>
  <c r="AI20" i="65"/>
  <c r="B20" i="65"/>
  <c r="AK19" i="65"/>
  <c r="AI19" i="65"/>
  <c r="B19" i="65"/>
  <c r="AK18" i="65"/>
  <c r="AI18" i="65"/>
  <c r="B18" i="65"/>
  <c r="AK17" i="65"/>
  <c r="AI17" i="65"/>
  <c r="B17" i="65"/>
  <c r="AK16" i="65"/>
  <c r="AI16" i="65"/>
  <c r="B16" i="65"/>
  <c r="AK15" i="65"/>
  <c r="AI15" i="65"/>
  <c r="AK14" i="65"/>
  <c r="AI14" i="65"/>
  <c r="B14" i="65"/>
  <c r="AK13" i="65"/>
  <c r="AI13" i="65"/>
  <c r="B13" i="65"/>
  <c r="AK12" i="65"/>
  <c r="AI12" i="65"/>
  <c r="B12" i="65"/>
  <c r="AK11" i="65"/>
  <c r="AI11" i="65"/>
  <c r="B11" i="65"/>
  <c r="AK10" i="65"/>
  <c r="AI10" i="65"/>
  <c r="B10" i="65"/>
  <c r="AK9" i="65"/>
  <c r="AI9" i="65"/>
  <c r="B9" i="65"/>
  <c r="AK8" i="65"/>
  <c r="AI8" i="65"/>
  <c r="AK7" i="65"/>
  <c r="AI7" i="65"/>
  <c r="B7" i="65"/>
  <c r="AK6" i="65"/>
  <c r="AI6" i="65"/>
  <c r="B6" i="65"/>
  <c r="AI5" i="65"/>
  <c r="AK5" i="65" s="1"/>
  <c r="B5" i="65"/>
  <c r="AI4" i="65"/>
  <c r="AK4" i="65" s="1"/>
  <c r="D3" i="65"/>
  <c r="E3" i="65" s="1"/>
  <c r="C2" i="65"/>
  <c r="Q1" i="65"/>
  <c r="C1" i="65"/>
  <c r="AF26" i="64"/>
  <c r="AB26" i="64"/>
  <c r="W26" i="64" s="1"/>
  <c r="AA26" i="64" s="1"/>
  <c r="Z26" i="64"/>
  <c r="AE26" i="64" s="1"/>
  <c r="Y26" i="64"/>
  <c r="AD26" i="64" s="1"/>
  <c r="X26" i="64"/>
  <c r="AC26" i="64" s="1"/>
  <c r="AF25" i="64"/>
  <c r="AB25" i="64"/>
  <c r="W25" i="64" s="1"/>
  <c r="AA25" i="64" s="1"/>
  <c r="Z25" i="64"/>
  <c r="AE25" i="64" s="1"/>
  <c r="Y25" i="64"/>
  <c r="AD25" i="64" s="1"/>
  <c r="X25" i="64"/>
  <c r="AC25" i="64" s="1"/>
  <c r="AF24" i="64"/>
  <c r="AB24" i="64"/>
  <c r="W24" i="64" s="1"/>
  <c r="AA24" i="64" s="1"/>
  <c r="Z24" i="64"/>
  <c r="AE24" i="64" s="1"/>
  <c r="Y24" i="64"/>
  <c r="AD24" i="64" s="1"/>
  <c r="X24" i="64"/>
  <c r="AC24" i="64" s="1"/>
  <c r="AF23" i="64"/>
  <c r="AB23" i="64"/>
  <c r="W23" i="64" s="1"/>
  <c r="AA23" i="64" s="1"/>
  <c r="Z23" i="64"/>
  <c r="AE23" i="64" s="1"/>
  <c r="Y23" i="64"/>
  <c r="AD23" i="64" s="1"/>
  <c r="X23" i="64"/>
  <c r="AC23" i="64" s="1"/>
  <c r="AF22" i="64"/>
  <c r="AB22" i="64"/>
  <c r="W22" i="64" s="1"/>
  <c r="AA22" i="64" s="1"/>
  <c r="Z22" i="64"/>
  <c r="AE22" i="64" s="1"/>
  <c r="Y22" i="64"/>
  <c r="AD22" i="64" s="1"/>
  <c r="X22" i="64"/>
  <c r="AC22" i="64" s="1"/>
  <c r="AF21" i="64"/>
  <c r="AB21" i="64"/>
  <c r="W21" i="64" s="1"/>
  <c r="AA21" i="64" s="1"/>
  <c r="Z21" i="64"/>
  <c r="AE21" i="64" s="1"/>
  <c r="Y21" i="64"/>
  <c r="AD21" i="64" s="1"/>
  <c r="X21" i="64"/>
  <c r="AC21" i="64" s="1"/>
  <c r="AF20" i="64"/>
  <c r="AB20" i="64"/>
  <c r="W20" i="64" s="1"/>
  <c r="AA20" i="64" s="1"/>
  <c r="Z20" i="64"/>
  <c r="AE20" i="64" s="1"/>
  <c r="Y20" i="64"/>
  <c r="AD20" i="64" s="1"/>
  <c r="X20" i="64"/>
  <c r="AC20" i="64" s="1"/>
  <c r="AF19" i="64"/>
  <c r="AB19" i="64"/>
  <c r="W19" i="64" s="1"/>
  <c r="AA19" i="64" s="1"/>
  <c r="Z19" i="64"/>
  <c r="AE19" i="64" s="1"/>
  <c r="Y19" i="64"/>
  <c r="AD19" i="64" s="1"/>
  <c r="X19" i="64"/>
  <c r="AC19" i="64" s="1"/>
  <c r="AF18" i="64"/>
  <c r="AB18" i="64"/>
  <c r="W18" i="64" s="1"/>
  <c r="AA18" i="64" s="1"/>
  <c r="Z18" i="64"/>
  <c r="AE18" i="64" s="1"/>
  <c r="Y18" i="64"/>
  <c r="AD18" i="64" s="1"/>
  <c r="X18" i="64"/>
  <c r="AC18" i="64" s="1"/>
  <c r="AF17" i="64"/>
  <c r="AB17" i="64"/>
  <c r="W17" i="64" s="1"/>
  <c r="AA17" i="64" s="1"/>
  <c r="Z17" i="64"/>
  <c r="AE17" i="64" s="1"/>
  <c r="Y17" i="64"/>
  <c r="AD17" i="64" s="1"/>
  <c r="X17" i="64"/>
  <c r="AC17" i="64" s="1"/>
  <c r="AF16" i="64"/>
  <c r="AB16" i="64"/>
  <c r="W16" i="64" s="1"/>
  <c r="AA16" i="64" s="1"/>
  <c r="Z16" i="64"/>
  <c r="AE16" i="64" s="1"/>
  <c r="Y16" i="64"/>
  <c r="AD16" i="64" s="1"/>
  <c r="X16" i="64"/>
  <c r="AC16" i="64" s="1"/>
  <c r="AF15" i="64"/>
  <c r="AB15" i="64"/>
  <c r="W15" i="64" s="1"/>
  <c r="AA15" i="64" s="1"/>
  <c r="Z15" i="64"/>
  <c r="AE15" i="64" s="1"/>
  <c r="Y15" i="64"/>
  <c r="AD15" i="64" s="1"/>
  <c r="X15" i="64"/>
  <c r="AC15" i="64" s="1"/>
  <c r="AF14" i="64"/>
  <c r="AB14" i="64"/>
  <c r="W14" i="64" s="1"/>
  <c r="AA14" i="64" s="1"/>
  <c r="Z14" i="64"/>
  <c r="AE14" i="64" s="1"/>
  <c r="Y14" i="64"/>
  <c r="AD14" i="64" s="1"/>
  <c r="X14" i="64"/>
  <c r="AC14" i="64" s="1"/>
  <c r="AF13" i="64"/>
  <c r="AB13" i="64"/>
  <c r="W13" i="64" s="1"/>
  <c r="AA13" i="64" s="1"/>
  <c r="Z13" i="64"/>
  <c r="AE13" i="64" s="1"/>
  <c r="Y13" i="64"/>
  <c r="AD13" i="64" s="1"/>
  <c r="X13" i="64"/>
  <c r="AC13" i="64" s="1"/>
  <c r="AF12" i="64"/>
  <c r="AB12" i="64"/>
  <c r="W12" i="64" s="1"/>
  <c r="AA12" i="64" s="1"/>
  <c r="Z12" i="64"/>
  <c r="AE12" i="64" s="1"/>
  <c r="Y12" i="64"/>
  <c r="AD12" i="64" s="1"/>
  <c r="X12" i="64"/>
  <c r="AC12" i="64" s="1"/>
  <c r="AF11" i="64"/>
  <c r="AD11" i="64"/>
  <c r="AB11" i="64"/>
  <c r="W11" i="64" s="1"/>
  <c r="AA11" i="64" s="1"/>
  <c r="Z11" i="64"/>
  <c r="AE11" i="64" s="1"/>
  <c r="Y11" i="64"/>
  <c r="X11" i="64"/>
  <c r="AC11" i="64" s="1"/>
  <c r="AF10" i="64"/>
  <c r="AB10" i="64"/>
  <c r="W10" i="64" s="1"/>
  <c r="AA10" i="64" s="1"/>
  <c r="Z10" i="64"/>
  <c r="AE10" i="64" s="1"/>
  <c r="Y10" i="64"/>
  <c r="AD10" i="64" s="1"/>
  <c r="X10" i="64"/>
  <c r="AC10" i="64" s="1"/>
  <c r="AF9" i="64"/>
  <c r="AD9" i="64"/>
  <c r="AB9" i="64"/>
  <c r="W9" i="64" s="1"/>
  <c r="AA9" i="64" s="1"/>
  <c r="Z9" i="64"/>
  <c r="AE9" i="64" s="1"/>
  <c r="Y9" i="64"/>
  <c r="X9" i="64"/>
  <c r="AC9" i="64" s="1"/>
  <c r="AF8" i="64"/>
  <c r="AB8" i="64"/>
  <c r="W8" i="64" s="1"/>
  <c r="AA8" i="64" s="1"/>
  <c r="Z8" i="64"/>
  <c r="AE8" i="64" s="1"/>
  <c r="Y8" i="64"/>
  <c r="AD8" i="64" s="1"/>
  <c r="X8" i="64"/>
  <c r="AC8" i="64" s="1"/>
  <c r="D6" i="64"/>
  <c r="Q1" i="42"/>
  <c r="D35" i="56"/>
  <c r="B35" i="56"/>
  <c r="D35" i="55"/>
  <c r="B35" i="55"/>
  <c r="D35" i="54"/>
  <c r="B35" i="54"/>
  <c r="D35" i="53"/>
  <c r="B35" i="53"/>
  <c r="D35" i="52"/>
  <c r="B35" i="52"/>
  <c r="D35" i="51"/>
  <c r="B35" i="51"/>
  <c r="D35" i="50"/>
  <c r="B35" i="50"/>
  <c r="D35" i="49"/>
  <c r="B35" i="49"/>
  <c r="D35" i="48"/>
  <c r="B35" i="48"/>
  <c r="D35" i="47"/>
  <c r="B35" i="47"/>
  <c r="D35" i="46"/>
  <c r="B35" i="46"/>
  <c r="D35" i="42"/>
  <c r="B35" i="42"/>
  <c r="C1" i="57"/>
  <c r="B7" i="57"/>
  <c r="AJ20" i="52"/>
  <c r="AI4" i="52"/>
  <c r="AJ4" i="52" s="1"/>
  <c r="AI4" i="51"/>
  <c r="AI6" i="51"/>
  <c r="AI23" i="42"/>
  <c r="AJ23" i="42" s="1"/>
  <c r="AI23" i="46"/>
  <c r="AJ23" i="46" s="1"/>
  <c r="AI23" i="47"/>
  <c r="AJ23" i="47" s="1"/>
  <c r="D34" i="56"/>
  <c r="B34" i="56"/>
  <c r="D33" i="56"/>
  <c r="B33" i="56"/>
  <c r="D34" i="55"/>
  <c r="B34" i="55"/>
  <c r="D33" i="55"/>
  <c r="B33" i="55"/>
  <c r="D34" i="54"/>
  <c r="B34" i="54"/>
  <c r="D33" i="54"/>
  <c r="B33" i="54"/>
  <c r="D34" i="53"/>
  <c r="B34" i="53"/>
  <c r="D33" i="53"/>
  <c r="B33" i="53"/>
  <c r="D34" i="52"/>
  <c r="B34" i="52"/>
  <c r="D33" i="52"/>
  <c r="B33" i="52"/>
  <c r="D34" i="51"/>
  <c r="B34" i="51"/>
  <c r="D33" i="51"/>
  <c r="B33" i="51"/>
  <c r="D34" i="50"/>
  <c r="B34" i="50"/>
  <c r="D33" i="50"/>
  <c r="B33" i="50"/>
  <c r="D34" i="49"/>
  <c r="B34" i="49"/>
  <c r="D33" i="49"/>
  <c r="B33" i="49"/>
  <c r="D34" i="48"/>
  <c r="B34" i="48"/>
  <c r="D33" i="48"/>
  <c r="B33" i="48"/>
  <c r="D34" i="47"/>
  <c r="B34" i="47"/>
  <c r="D33" i="47"/>
  <c r="B33" i="47"/>
  <c r="D34" i="46"/>
  <c r="B34" i="46"/>
  <c r="D33" i="46"/>
  <c r="B33" i="46"/>
  <c r="B22" i="56"/>
  <c r="B21" i="56"/>
  <c r="B20" i="56"/>
  <c r="B19" i="56"/>
  <c r="B18" i="56"/>
  <c r="B17" i="56"/>
  <c r="B16" i="56"/>
  <c r="B15" i="56"/>
  <c r="B14" i="56"/>
  <c r="B13" i="56"/>
  <c r="B12" i="56"/>
  <c r="B11" i="56"/>
  <c r="B10" i="56"/>
  <c r="B9" i="56"/>
  <c r="B8" i="56"/>
  <c r="B7" i="56"/>
  <c r="B6" i="56"/>
  <c r="B5" i="56"/>
  <c r="B4" i="56"/>
  <c r="AJ22" i="56"/>
  <c r="AJ21" i="56"/>
  <c r="AJ17" i="56"/>
  <c r="AJ13" i="56"/>
  <c r="AJ8" i="56"/>
  <c r="AJ5" i="56"/>
  <c r="AJ13" i="55"/>
  <c r="AJ9" i="55"/>
  <c r="AJ5" i="55"/>
  <c r="B22" i="55"/>
  <c r="B21" i="55"/>
  <c r="B20" i="55"/>
  <c r="B19" i="55"/>
  <c r="B18" i="55"/>
  <c r="B17" i="55"/>
  <c r="B16" i="55"/>
  <c r="B15" i="55"/>
  <c r="B14" i="55"/>
  <c r="B13" i="55"/>
  <c r="B12" i="55"/>
  <c r="B11" i="55"/>
  <c r="B10" i="55"/>
  <c r="B9" i="55"/>
  <c r="B8" i="55"/>
  <c r="B7" i="55"/>
  <c r="B6" i="55"/>
  <c r="B5" i="55"/>
  <c r="B4" i="55"/>
  <c r="AJ21" i="54"/>
  <c r="AJ18" i="54"/>
  <c r="AJ11" i="54"/>
  <c r="AJ7" i="54"/>
  <c r="B22" i="54"/>
  <c r="B21" i="54"/>
  <c r="B20" i="54"/>
  <c r="B19" i="54"/>
  <c r="B18" i="54"/>
  <c r="B17" i="54"/>
  <c r="B16" i="54"/>
  <c r="B15" i="54"/>
  <c r="B14" i="54"/>
  <c r="B13" i="54"/>
  <c r="B12" i="54"/>
  <c r="B11" i="54"/>
  <c r="B10" i="54"/>
  <c r="B9" i="54"/>
  <c r="B8" i="54"/>
  <c r="B7" i="54"/>
  <c r="B6" i="54"/>
  <c r="B5" i="54"/>
  <c r="B4" i="54"/>
  <c r="AJ21" i="53"/>
  <c r="AJ20" i="53"/>
  <c r="AJ17" i="53"/>
  <c r="AJ12" i="53"/>
  <c r="AJ8" i="53"/>
  <c r="AJ4" i="53"/>
  <c r="B22" i="53"/>
  <c r="B21" i="53"/>
  <c r="B20" i="53"/>
  <c r="B19" i="53"/>
  <c r="B18" i="53"/>
  <c r="B17" i="53"/>
  <c r="B16" i="53"/>
  <c r="B15" i="53"/>
  <c r="B14" i="53"/>
  <c r="B13" i="53"/>
  <c r="B12" i="53"/>
  <c r="B11" i="53"/>
  <c r="B10" i="53"/>
  <c r="B9" i="53"/>
  <c r="B8" i="53"/>
  <c r="B7" i="53"/>
  <c r="B6" i="53"/>
  <c r="B5" i="53"/>
  <c r="B4" i="53"/>
  <c r="AJ21" i="52"/>
  <c r="AJ10" i="52"/>
  <c r="B22" i="52"/>
  <c r="B21" i="52"/>
  <c r="B20" i="52"/>
  <c r="B19" i="52"/>
  <c r="B18" i="52"/>
  <c r="B17" i="52"/>
  <c r="B16" i="52"/>
  <c r="B15" i="52"/>
  <c r="B14" i="52"/>
  <c r="B13" i="52"/>
  <c r="B12" i="52"/>
  <c r="B11" i="52"/>
  <c r="B10" i="52"/>
  <c r="B9" i="52"/>
  <c r="B8" i="52"/>
  <c r="B7" i="52"/>
  <c r="B6" i="52"/>
  <c r="B5" i="52"/>
  <c r="B4" i="52"/>
  <c r="AJ21" i="51"/>
  <c r="AJ16" i="51"/>
  <c r="AJ15" i="51"/>
  <c r="AJ8" i="51"/>
  <c r="AJ6" i="51"/>
  <c r="B22" i="51"/>
  <c r="B21" i="51"/>
  <c r="B20" i="51"/>
  <c r="B19" i="51"/>
  <c r="B18" i="51"/>
  <c r="B17" i="51"/>
  <c r="B16" i="51"/>
  <c r="B15" i="51"/>
  <c r="B14" i="51"/>
  <c r="B13" i="51"/>
  <c r="B12" i="51"/>
  <c r="B11" i="51"/>
  <c r="B10" i="51"/>
  <c r="B9" i="51"/>
  <c r="B8" i="51"/>
  <c r="B7" i="51"/>
  <c r="B6" i="51"/>
  <c r="B5" i="51"/>
  <c r="B4" i="51"/>
  <c r="AJ22" i="50"/>
  <c r="AJ17" i="50"/>
  <c r="AJ12" i="50"/>
  <c r="AJ8" i="50"/>
  <c r="AJ4" i="50"/>
  <c r="B22" i="50"/>
  <c r="B21" i="50"/>
  <c r="B20" i="50"/>
  <c r="B19" i="50"/>
  <c r="B18" i="50"/>
  <c r="B17" i="50"/>
  <c r="B16" i="50"/>
  <c r="B15" i="50"/>
  <c r="B14" i="50"/>
  <c r="B13" i="50"/>
  <c r="B12" i="50"/>
  <c r="B11" i="50"/>
  <c r="B10" i="50"/>
  <c r="B9" i="50"/>
  <c r="B8" i="50"/>
  <c r="B7" i="50"/>
  <c r="B6" i="50"/>
  <c r="B5" i="50"/>
  <c r="B4" i="50"/>
  <c r="AJ21" i="49"/>
  <c r="AJ13" i="49"/>
  <c r="AJ9" i="49"/>
  <c r="AJ5" i="49"/>
  <c r="B22" i="49"/>
  <c r="B21" i="49"/>
  <c r="B20" i="49"/>
  <c r="B19" i="49"/>
  <c r="B18" i="49"/>
  <c r="B17" i="49"/>
  <c r="B16" i="49"/>
  <c r="B15" i="49"/>
  <c r="B14" i="49"/>
  <c r="B13" i="49"/>
  <c r="B12" i="49"/>
  <c r="B11" i="49"/>
  <c r="B10" i="49"/>
  <c r="B9" i="49"/>
  <c r="B8" i="49"/>
  <c r="B7" i="49"/>
  <c r="B6" i="49"/>
  <c r="B5" i="49"/>
  <c r="B4" i="49"/>
  <c r="AJ23" i="48"/>
  <c r="AJ19" i="48"/>
  <c r="AJ15" i="48"/>
  <c r="AJ11" i="48"/>
  <c r="AJ7" i="48"/>
  <c r="B22" i="48"/>
  <c r="B21" i="48"/>
  <c r="B20" i="48"/>
  <c r="B19" i="48"/>
  <c r="B18" i="48"/>
  <c r="B17" i="48"/>
  <c r="B16" i="48"/>
  <c r="B15" i="48"/>
  <c r="B14" i="48"/>
  <c r="B13" i="48"/>
  <c r="B12" i="48"/>
  <c r="B11" i="48"/>
  <c r="B10" i="48"/>
  <c r="B9" i="48"/>
  <c r="B8" i="48"/>
  <c r="B7" i="48"/>
  <c r="B6" i="48"/>
  <c r="B5" i="48"/>
  <c r="B4" i="48"/>
  <c r="B22" i="47"/>
  <c r="B21" i="47"/>
  <c r="B20" i="47"/>
  <c r="B19" i="47"/>
  <c r="B18" i="47"/>
  <c r="B17" i="47"/>
  <c r="B16" i="47"/>
  <c r="B15" i="47"/>
  <c r="B14" i="47"/>
  <c r="B13" i="47"/>
  <c r="B12" i="47"/>
  <c r="B11" i="47"/>
  <c r="B10" i="47"/>
  <c r="B9" i="47"/>
  <c r="B8" i="47"/>
  <c r="B7" i="47"/>
  <c r="B6" i="47"/>
  <c r="B5" i="47"/>
  <c r="B4" i="47"/>
  <c r="B22" i="46"/>
  <c r="B21" i="46"/>
  <c r="B20" i="46"/>
  <c r="B19" i="46"/>
  <c r="B18" i="46"/>
  <c r="B17" i="46"/>
  <c r="B16" i="46"/>
  <c r="B15" i="46"/>
  <c r="B14" i="46"/>
  <c r="B13" i="46"/>
  <c r="B12" i="46"/>
  <c r="B11" i="46"/>
  <c r="B10" i="46"/>
  <c r="B9" i="46"/>
  <c r="B8" i="46"/>
  <c r="B7" i="46"/>
  <c r="B6" i="46"/>
  <c r="B5" i="46"/>
  <c r="B4" i="46"/>
  <c r="G33" i="39"/>
  <c r="I33" i="39"/>
  <c r="G27" i="39"/>
  <c r="I27" i="39"/>
  <c r="B22" i="42"/>
  <c r="D3" i="42"/>
  <c r="E3" i="42" s="1"/>
  <c r="F3" i="42" s="1"/>
  <c r="G3" i="42" s="1"/>
  <c r="H3" i="42" s="1"/>
  <c r="I3" i="42" s="1"/>
  <c r="J3" i="42" s="1"/>
  <c r="K3" i="42" s="1"/>
  <c r="L3" i="42" s="1"/>
  <c r="M3" i="42" s="1"/>
  <c r="N3" i="42" s="1"/>
  <c r="O3" i="42" s="1"/>
  <c r="P3" i="42" s="1"/>
  <c r="Q3" i="42" s="1"/>
  <c r="R3" i="42" s="1"/>
  <c r="S3" i="42" s="1"/>
  <c r="T3" i="42" s="1"/>
  <c r="U3" i="42" s="1"/>
  <c r="V3" i="42" s="1"/>
  <c r="W3" i="42" s="1"/>
  <c r="X3" i="42" s="1"/>
  <c r="Y3" i="42" s="1"/>
  <c r="Z3" i="42" s="1"/>
  <c r="AA3" i="42" s="1"/>
  <c r="AB3" i="42" s="1"/>
  <c r="AC3" i="42" s="1"/>
  <c r="AD3" i="42" s="1"/>
  <c r="AE3" i="42" s="1"/>
  <c r="AF3" i="42" s="1"/>
  <c r="AG3" i="42" s="1"/>
  <c r="AH3" i="42" s="1"/>
  <c r="AH28" i="56"/>
  <c r="H28" i="56"/>
  <c r="L28" i="56"/>
  <c r="P28" i="56"/>
  <c r="T28" i="56"/>
  <c r="X28" i="56"/>
  <c r="AB28" i="56"/>
  <c r="AF28" i="56"/>
  <c r="AI24" i="48"/>
  <c r="G24" i="57" s="1"/>
  <c r="AI5" i="48"/>
  <c r="AJ5" i="48" s="1"/>
  <c r="AI6" i="48"/>
  <c r="AJ6" i="48" s="1"/>
  <c r="AI7" i="48"/>
  <c r="AI8" i="48"/>
  <c r="G8" i="57" s="1"/>
  <c r="AI9" i="48"/>
  <c r="AJ9" i="48" s="1"/>
  <c r="AI10" i="48"/>
  <c r="AJ10" i="48" s="1"/>
  <c r="AI11" i="48"/>
  <c r="G11" i="57" s="1"/>
  <c r="AI12" i="48"/>
  <c r="AJ12" i="48" s="1"/>
  <c r="AI13" i="48"/>
  <c r="AJ13" i="48" s="1"/>
  <c r="AI14" i="48"/>
  <c r="AJ14" i="48" s="1"/>
  <c r="AI15" i="48"/>
  <c r="AI16" i="48"/>
  <c r="AJ16" i="48" s="1"/>
  <c r="AI17" i="48"/>
  <c r="AJ17" i="48" s="1"/>
  <c r="AI18" i="48"/>
  <c r="AJ18" i="48" s="1"/>
  <c r="AI19" i="48"/>
  <c r="AI20" i="48"/>
  <c r="G20" i="57" s="1"/>
  <c r="AI21" i="48"/>
  <c r="AJ21" i="48" s="1"/>
  <c r="AI22" i="48"/>
  <c r="AJ22" i="48" s="1"/>
  <c r="AI23" i="48"/>
  <c r="AI4" i="48"/>
  <c r="G4" i="57" s="1"/>
  <c r="AI24" i="55"/>
  <c r="N24" i="57" s="1"/>
  <c r="AI5" i="55"/>
  <c r="AI6" i="55"/>
  <c r="AJ6" i="55" s="1"/>
  <c r="AI7" i="55"/>
  <c r="AJ7" i="55" s="1"/>
  <c r="AI8" i="55"/>
  <c r="N8" i="57" s="1"/>
  <c r="AI9" i="55"/>
  <c r="N9" i="57" s="1"/>
  <c r="AI10" i="55"/>
  <c r="N10" i="57" s="1"/>
  <c r="AI11" i="55"/>
  <c r="N11" i="57" s="1"/>
  <c r="AI12" i="55"/>
  <c r="AJ12" i="55" s="1"/>
  <c r="AI13" i="55"/>
  <c r="AI14" i="55"/>
  <c r="AJ14" i="55" s="1"/>
  <c r="AI15" i="55"/>
  <c r="AJ15" i="55" s="1"/>
  <c r="AI16" i="55"/>
  <c r="N16" i="57" s="1"/>
  <c r="AI17" i="55"/>
  <c r="N17" i="57" s="1"/>
  <c r="AI18" i="55"/>
  <c r="N18" i="57" s="1"/>
  <c r="AI19" i="55"/>
  <c r="N19" i="57" s="1"/>
  <c r="AI20" i="55"/>
  <c r="AJ20" i="55" s="1"/>
  <c r="AI21" i="55"/>
  <c r="AJ21" i="55" s="1"/>
  <c r="AI22" i="55"/>
  <c r="AJ22" i="55" s="1"/>
  <c r="AI23" i="55"/>
  <c r="AJ23" i="55" s="1"/>
  <c r="AI4" i="55"/>
  <c r="N4" i="57" s="1"/>
  <c r="AI5" i="53"/>
  <c r="AJ5" i="53" s="1"/>
  <c r="AI6" i="53"/>
  <c r="AJ6" i="53" s="1"/>
  <c r="AI7" i="53"/>
  <c r="AJ7" i="53" s="1"/>
  <c r="AI8" i="53"/>
  <c r="AI9" i="53"/>
  <c r="AJ9" i="53" s="1"/>
  <c r="AI10" i="53"/>
  <c r="AJ10" i="53" s="1"/>
  <c r="AI11" i="53"/>
  <c r="L11" i="57" s="1"/>
  <c r="AI12" i="53"/>
  <c r="AI13" i="53"/>
  <c r="L13" i="57" s="1"/>
  <c r="AI14" i="53"/>
  <c r="AJ14" i="53" s="1"/>
  <c r="AI15" i="53"/>
  <c r="L15" i="57" s="1"/>
  <c r="AI16" i="53"/>
  <c r="AJ16" i="53" s="1"/>
  <c r="AI17" i="53"/>
  <c r="AI18" i="53"/>
  <c r="L18" i="57" s="1"/>
  <c r="AI19" i="53"/>
  <c r="AJ19" i="53" s="1"/>
  <c r="AI20" i="53"/>
  <c r="AI21" i="53"/>
  <c r="AI22" i="53"/>
  <c r="L22" i="57" s="1"/>
  <c r="AI23" i="53"/>
  <c r="AJ23" i="53" s="1"/>
  <c r="AI4" i="53"/>
  <c r="AI24" i="53"/>
  <c r="L24" i="57" s="1"/>
  <c r="AI5" i="50"/>
  <c r="AJ5" i="50" s="1"/>
  <c r="AI6" i="50"/>
  <c r="AJ6" i="50" s="1"/>
  <c r="AI7" i="50"/>
  <c r="AJ7" i="50" s="1"/>
  <c r="AI8" i="50"/>
  <c r="I8" i="57" s="1"/>
  <c r="AI9" i="50"/>
  <c r="AJ9" i="50" s="1"/>
  <c r="AI10" i="50"/>
  <c r="AJ10" i="50" s="1"/>
  <c r="AI11" i="50"/>
  <c r="AJ11" i="50" s="1"/>
  <c r="AI12" i="50"/>
  <c r="AI13" i="50"/>
  <c r="AJ13" i="50" s="1"/>
  <c r="AI14" i="50"/>
  <c r="AJ14" i="50" s="1"/>
  <c r="AI15" i="50"/>
  <c r="AJ15" i="50" s="1"/>
  <c r="AI16" i="50"/>
  <c r="I16" i="57" s="1"/>
  <c r="AI17" i="50"/>
  <c r="AI18" i="50"/>
  <c r="AJ18" i="50" s="1"/>
  <c r="AI19" i="50"/>
  <c r="I19" i="57" s="1"/>
  <c r="AI20" i="50"/>
  <c r="AJ20" i="50" s="1"/>
  <c r="AI21" i="50"/>
  <c r="AJ21" i="50" s="1"/>
  <c r="AI22" i="50"/>
  <c r="AI23" i="50"/>
  <c r="AJ23" i="50" s="1"/>
  <c r="AI24" i="50"/>
  <c r="I24" i="57" s="1"/>
  <c r="AI4" i="50"/>
  <c r="AI5" i="46"/>
  <c r="AJ5" i="46" s="1"/>
  <c r="AI6" i="46"/>
  <c r="AJ6" i="46" s="1"/>
  <c r="AI7" i="46"/>
  <c r="AJ7" i="46" s="1"/>
  <c r="AI8" i="46"/>
  <c r="AJ8" i="46" s="1"/>
  <c r="AI9" i="46"/>
  <c r="AJ9" i="46" s="1"/>
  <c r="AI10" i="46"/>
  <c r="AJ10" i="46" s="1"/>
  <c r="AI11" i="46"/>
  <c r="AJ11" i="46" s="1"/>
  <c r="AI12" i="46"/>
  <c r="AJ12" i="46" s="1"/>
  <c r="AI13" i="46"/>
  <c r="AJ13" i="46" s="1"/>
  <c r="AI14" i="46"/>
  <c r="AJ14" i="46" s="1"/>
  <c r="AI15" i="46"/>
  <c r="AJ15" i="46" s="1"/>
  <c r="AI16" i="46"/>
  <c r="E16" i="57" s="1"/>
  <c r="AI17" i="46"/>
  <c r="AJ17" i="46" s="1"/>
  <c r="AI18" i="46"/>
  <c r="AJ18" i="46" s="1"/>
  <c r="AI19" i="46"/>
  <c r="AJ19" i="46" s="1"/>
  <c r="AI20" i="46"/>
  <c r="AJ20" i="46" s="1"/>
  <c r="AI21" i="46"/>
  <c r="AJ21" i="46" s="1"/>
  <c r="AI22" i="46"/>
  <c r="AJ22" i="46" s="1"/>
  <c r="E4" i="57"/>
  <c r="AI24" i="46"/>
  <c r="E24" i="57" s="1"/>
  <c r="F28" i="56"/>
  <c r="G28" i="56"/>
  <c r="I28" i="56"/>
  <c r="J28" i="56"/>
  <c r="K28" i="56"/>
  <c r="M28" i="56"/>
  <c r="N28" i="56"/>
  <c r="O28" i="56"/>
  <c r="Q28" i="56"/>
  <c r="R28" i="56"/>
  <c r="S28" i="56"/>
  <c r="U28" i="56"/>
  <c r="V28" i="56"/>
  <c r="W28" i="56"/>
  <c r="Y28" i="56"/>
  <c r="Z28" i="56"/>
  <c r="AA28" i="56"/>
  <c r="AC28" i="56"/>
  <c r="AD28" i="56"/>
  <c r="AE28" i="56"/>
  <c r="AG28" i="56"/>
  <c r="E26" i="56"/>
  <c r="F26" i="56"/>
  <c r="F25" i="56" s="1"/>
  <c r="G26" i="56"/>
  <c r="H26" i="56"/>
  <c r="H25" i="56" s="1"/>
  <c r="I26" i="56"/>
  <c r="I25" i="56" s="1"/>
  <c r="J26" i="56"/>
  <c r="J25" i="56" s="1"/>
  <c r="K26" i="56"/>
  <c r="L26" i="56"/>
  <c r="M26" i="56"/>
  <c r="N26" i="56"/>
  <c r="N25" i="56" s="1"/>
  <c r="O26" i="56"/>
  <c r="P26" i="56"/>
  <c r="P25" i="56" s="1"/>
  <c r="Q26" i="56"/>
  <c r="Q25" i="56" s="1"/>
  <c r="R26" i="56"/>
  <c r="R25" i="56" s="1"/>
  <c r="S26" i="56"/>
  <c r="S25" i="56" s="1"/>
  <c r="T26" i="56"/>
  <c r="U26" i="56"/>
  <c r="V26" i="56"/>
  <c r="W26" i="56"/>
  <c r="W25" i="56" s="1"/>
  <c r="X26" i="56"/>
  <c r="X25" i="56" s="1"/>
  <c r="Y26" i="56"/>
  <c r="Y25" i="56" s="1"/>
  <c r="Z26" i="56"/>
  <c r="Z25" i="56" s="1"/>
  <c r="AA26" i="56"/>
  <c r="AA25" i="56" s="1"/>
  <c r="AB26" i="56"/>
  <c r="AC26" i="56"/>
  <c r="AD26" i="56"/>
  <c r="AE26" i="56"/>
  <c r="AE25" i="56" s="1"/>
  <c r="AF26" i="56"/>
  <c r="AF25" i="56" s="1"/>
  <c r="AG26" i="56"/>
  <c r="AG25" i="56" s="1"/>
  <c r="AH26" i="56"/>
  <c r="AH25" i="56" s="1"/>
  <c r="D26" i="56"/>
  <c r="E28" i="55"/>
  <c r="F28" i="55"/>
  <c r="G28" i="55"/>
  <c r="H28" i="55"/>
  <c r="I28" i="55"/>
  <c r="J28" i="55"/>
  <c r="K28" i="55"/>
  <c r="L28" i="55"/>
  <c r="M28" i="55"/>
  <c r="N28" i="55"/>
  <c r="O28" i="55"/>
  <c r="P28" i="55"/>
  <c r="Q28" i="55"/>
  <c r="R28" i="55"/>
  <c r="S28" i="55"/>
  <c r="T28" i="55"/>
  <c r="U28" i="55"/>
  <c r="V28" i="55"/>
  <c r="W28" i="55"/>
  <c r="X28" i="55"/>
  <c r="Y28" i="55"/>
  <c r="Z28" i="55"/>
  <c r="AA28" i="55"/>
  <c r="AB28" i="55"/>
  <c r="AC28" i="55"/>
  <c r="AD28" i="55"/>
  <c r="AE28" i="55"/>
  <c r="AF28" i="55"/>
  <c r="AG28" i="55"/>
  <c r="D28" i="55"/>
  <c r="E26" i="55"/>
  <c r="F26" i="55"/>
  <c r="G26" i="55"/>
  <c r="H26" i="55"/>
  <c r="H25" i="55" s="1"/>
  <c r="I26" i="55"/>
  <c r="J26" i="55"/>
  <c r="K26" i="55"/>
  <c r="L26" i="55"/>
  <c r="L25" i="55" s="1"/>
  <c r="M26" i="55"/>
  <c r="N26" i="55"/>
  <c r="O26" i="55"/>
  <c r="P26" i="55"/>
  <c r="P25" i="55" s="1"/>
  <c r="Q26" i="55"/>
  <c r="R26" i="55"/>
  <c r="S26" i="55"/>
  <c r="T26" i="55"/>
  <c r="T25" i="55" s="1"/>
  <c r="U26" i="55"/>
  <c r="V26" i="55"/>
  <c r="W26" i="55"/>
  <c r="X26" i="55"/>
  <c r="Y26" i="55"/>
  <c r="Z26" i="55"/>
  <c r="AA26" i="55"/>
  <c r="AB26" i="55"/>
  <c r="AB25" i="55" s="1"/>
  <c r="AC26" i="55"/>
  <c r="AD26" i="55"/>
  <c r="AE26" i="55"/>
  <c r="AF26" i="55"/>
  <c r="AF25" i="55" s="1"/>
  <c r="AG26" i="55"/>
  <c r="AG25" i="55" s="1"/>
  <c r="AH26" i="55"/>
  <c r="D26" i="55"/>
  <c r="E28" i="54"/>
  <c r="F28" i="54"/>
  <c r="G28" i="54"/>
  <c r="H28" i="54"/>
  <c r="I28" i="54"/>
  <c r="J28" i="54"/>
  <c r="K28" i="54"/>
  <c r="L28" i="54"/>
  <c r="M28" i="54"/>
  <c r="N28" i="54"/>
  <c r="O28" i="54"/>
  <c r="P28" i="54"/>
  <c r="Q28" i="54"/>
  <c r="R28" i="54"/>
  <c r="S28" i="54"/>
  <c r="T28" i="54"/>
  <c r="U28" i="54"/>
  <c r="V28" i="54"/>
  <c r="W28" i="54"/>
  <c r="X28" i="54"/>
  <c r="Y28" i="54"/>
  <c r="Z28" i="54"/>
  <c r="AA28" i="54"/>
  <c r="AB28" i="54"/>
  <c r="AC28" i="54"/>
  <c r="AD28" i="54"/>
  <c r="AE28" i="54"/>
  <c r="AF28" i="54"/>
  <c r="AG28" i="54"/>
  <c r="AH28" i="54"/>
  <c r="E26" i="54"/>
  <c r="E25" i="54" s="1"/>
  <c r="F26" i="54"/>
  <c r="G26" i="54"/>
  <c r="H26" i="54"/>
  <c r="H25" i="54" s="1"/>
  <c r="I26" i="54"/>
  <c r="J26" i="54"/>
  <c r="K26" i="54"/>
  <c r="L26" i="54"/>
  <c r="L25" i="54" s="1"/>
  <c r="M26" i="54"/>
  <c r="M25" i="54" s="1"/>
  <c r="N26" i="54"/>
  <c r="N25" i="54" s="1"/>
  <c r="O26" i="54"/>
  <c r="P26" i="54"/>
  <c r="P25" i="54" s="1"/>
  <c r="Q26" i="54"/>
  <c r="R26" i="54"/>
  <c r="R25" i="54" s="1"/>
  <c r="S26" i="54"/>
  <c r="T26" i="54"/>
  <c r="T25" i="54" s="1"/>
  <c r="U26" i="54"/>
  <c r="U25" i="54" s="1"/>
  <c r="V26" i="54"/>
  <c r="W26" i="54"/>
  <c r="W25" i="54" s="1"/>
  <c r="X26" i="54"/>
  <c r="Y26" i="54"/>
  <c r="Z26" i="54"/>
  <c r="AA26" i="54"/>
  <c r="AA25" i="54" s="1"/>
  <c r="AB26" i="54"/>
  <c r="AC26" i="54"/>
  <c r="AC25" i="54" s="1"/>
  <c r="AD26" i="54"/>
  <c r="AE26" i="54"/>
  <c r="AE25" i="54" s="1"/>
  <c r="AF26" i="54"/>
  <c r="AF25" i="54" s="1"/>
  <c r="AG26" i="54"/>
  <c r="AH26" i="54"/>
  <c r="D26" i="54"/>
  <c r="D25" i="54" s="1"/>
  <c r="E28" i="53"/>
  <c r="F28" i="53"/>
  <c r="G28" i="53"/>
  <c r="H28" i="53"/>
  <c r="I28" i="53"/>
  <c r="J28" i="53"/>
  <c r="K28" i="53"/>
  <c r="L28" i="53"/>
  <c r="M28" i="53"/>
  <c r="N28" i="53"/>
  <c r="O28" i="53"/>
  <c r="P28" i="53"/>
  <c r="Q28" i="53"/>
  <c r="R28" i="53"/>
  <c r="S28" i="53"/>
  <c r="T28" i="53"/>
  <c r="U28" i="53"/>
  <c r="V28" i="53"/>
  <c r="W28" i="53"/>
  <c r="X28" i="53"/>
  <c r="Y28" i="53"/>
  <c r="Z28" i="53"/>
  <c r="AA28" i="53"/>
  <c r="AB28" i="53"/>
  <c r="AC28" i="53"/>
  <c r="AD28" i="53"/>
  <c r="AE28" i="53"/>
  <c r="AF28" i="53"/>
  <c r="AG28" i="53"/>
  <c r="D28" i="53"/>
  <c r="E26" i="53"/>
  <c r="F26" i="53"/>
  <c r="G26" i="53"/>
  <c r="G25" i="53" s="1"/>
  <c r="H26" i="53"/>
  <c r="I26" i="53"/>
  <c r="J26" i="53"/>
  <c r="J25" i="53" s="1"/>
  <c r="K26" i="53"/>
  <c r="L26" i="53"/>
  <c r="M26" i="53"/>
  <c r="N26" i="53"/>
  <c r="N25" i="53" s="1"/>
  <c r="O26" i="53"/>
  <c r="O25" i="53" s="1"/>
  <c r="P26" i="53"/>
  <c r="Q26" i="53"/>
  <c r="R26" i="53"/>
  <c r="R25" i="53" s="1"/>
  <c r="S26" i="53"/>
  <c r="S25" i="53" s="1"/>
  <c r="T26" i="53"/>
  <c r="U26" i="53"/>
  <c r="V26" i="53"/>
  <c r="V25" i="53" s="1"/>
  <c r="W26" i="53"/>
  <c r="W25" i="53" s="1"/>
  <c r="X26" i="53"/>
  <c r="Y26" i="53"/>
  <c r="Z26" i="53"/>
  <c r="AA26" i="53"/>
  <c r="AA25" i="53" s="1"/>
  <c r="AB26" i="53"/>
  <c r="AC26" i="53"/>
  <c r="AD26" i="53"/>
  <c r="AE26" i="53"/>
  <c r="AE25" i="53" s="1"/>
  <c r="AF26" i="53"/>
  <c r="AG26" i="53"/>
  <c r="AG25" i="53" s="1"/>
  <c r="D26" i="53"/>
  <c r="D25" i="53" s="1"/>
  <c r="E28" i="52"/>
  <c r="F28" i="52"/>
  <c r="G28" i="52"/>
  <c r="H28" i="52"/>
  <c r="I28" i="52"/>
  <c r="J28" i="52"/>
  <c r="K28" i="52"/>
  <c r="L28" i="52"/>
  <c r="M28" i="52"/>
  <c r="N28" i="52"/>
  <c r="O28" i="52"/>
  <c r="P28" i="52"/>
  <c r="Q28" i="52"/>
  <c r="R28" i="52"/>
  <c r="S28" i="52"/>
  <c r="T28" i="52"/>
  <c r="U28" i="52"/>
  <c r="V28" i="52"/>
  <c r="W28" i="52"/>
  <c r="X28" i="52"/>
  <c r="Y28" i="52"/>
  <c r="Z28" i="52"/>
  <c r="AA28" i="52"/>
  <c r="AB28" i="52"/>
  <c r="AC28" i="52"/>
  <c r="AD28" i="52"/>
  <c r="AE28" i="52"/>
  <c r="AF28" i="52"/>
  <c r="AG28" i="52"/>
  <c r="AH28" i="52"/>
  <c r="D28" i="52"/>
  <c r="E26" i="52"/>
  <c r="E25" i="52" s="1"/>
  <c r="F26" i="52"/>
  <c r="G26" i="52"/>
  <c r="H26" i="52"/>
  <c r="I26" i="52"/>
  <c r="I25" i="52" s="1"/>
  <c r="J26" i="52"/>
  <c r="J25" i="52" s="1"/>
  <c r="K26" i="52"/>
  <c r="K25" i="52" s="1"/>
  <c r="L26" i="52"/>
  <c r="M26" i="52"/>
  <c r="N26" i="52"/>
  <c r="N25" i="52" s="1"/>
  <c r="O26" i="52"/>
  <c r="P26" i="52"/>
  <c r="Q26" i="52"/>
  <c r="R26" i="52"/>
  <c r="R25" i="52" s="1"/>
  <c r="S26" i="52"/>
  <c r="S25" i="52" s="1"/>
  <c r="T26" i="52"/>
  <c r="U26" i="52"/>
  <c r="U25" i="52" s="1"/>
  <c r="V26" i="52"/>
  <c r="W26" i="52"/>
  <c r="X26" i="52"/>
  <c r="Y26" i="52"/>
  <c r="Y25" i="52" s="1"/>
  <c r="Z26" i="52"/>
  <c r="Z25" i="52" s="1"/>
  <c r="AA26" i="52"/>
  <c r="AA25" i="52" s="1"/>
  <c r="AB26" i="52"/>
  <c r="AC26" i="52"/>
  <c r="AD26" i="52"/>
  <c r="AD25" i="52" s="1"/>
  <c r="AE26" i="52"/>
  <c r="AF26" i="52"/>
  <c r="AF25" i="52" s="1"/>
  <c r="AG26" i="52"/>
  <c r="AG25" i="52" s="1"/>
  <c r="AH26" i="52"/>
  <c r="AH25" i="52" s="1"/>
  <c r="D26" i="52"/>
  <c r="D25" i="52" s="1"/>
  <c r="E28" i="51"/>
  <c r="F28" i="51"/>
  <c r="G28" i="51"/>
  <c r="H28" i="51"/>
  <c r="I28" i="51"/>
  <c r="J28" i="51"/>
  <c r="K28" i="51"/>
  <c r="L28" i="51"/>
  <c r="M28" i="51"/>
  <c r="N28" i="51"/>
  <c r="O28" i="51"/>
  <c r="P28" i="51"/>
  <c r="Q28" i="51"/>
  <c r="R28" i="51"/>
  <c r="S28" i="51"/>
  <c r="T28" i="51"/>
  <c r="U28" i="51"/>
  <c r="V28" i="51"/>
  <c r="W28" i="51"/>
  <c r="X28" i="51"/>
  <c r="Y28" i="51"/>
  <c r="Z28" i="51"/>
  <c r="AA28" i="51"/>
  <c r="AB28" i="51"/>
  <c r="AC28" i="51"/>
  <c r="AD28" i="51"/>
  <c r="AE28" i="51"/>
  <c r="AF28" i="51"/>
  <c r="AG28" i="51"/>
  <c r="AH28" i="51"/>
  <c r="D28" i="51"/>
  <c r="E26" i="51"/>
  <c r="F26" i="51"/>
  <c r="G26" i="51"/>
  <c r="G25" i="51" s="1"/>
  <c r="H26" i="51"/>
  <c r="I26" i="51"/>
  <c r="J26" i="51"/>
  <c r="K26" i="51"/>
  <c r="K25" i="51" s="1"/>
  <c r="L26" i="51"/>
  <c r="L25" i="51" s="1"/>
  <c r="M26" i="51"/>
  <c r="N26" i="51"/>
  <c r="O26" i="51"/>
  <c r="O25" i="51" s="1"/>
  <c r="P26" i="51"/>
  <c r="P25" i="51" s="1"/>
  <c r="Q26" i="51"/>
  <c r="R26" i="51"/>
  <c r="S26" i="51"/>
  <c r="S25" i="51" s="1"/>
  <c r="T26" i="51"/>
  <c r="T25" i="51" s="1"/>
  <c r="U26" i="51"/>
  <c r="V26" i="51"/>
  <c r="W26" i="51"/>
  <c r="X26" i="51"/>
  <c r="X25" i="51" s="1"/>
  <c r="Y26" i="51"/>
  <c r="Z26" i="51"/>
  <c r="AA26" i="51"/>
  <c r="AB26" i="51"/>
  <c r="AB25" i="51" s="1"/>
  <c r="AC26" i="51"/>
  <c r="AC25" i="51" s="1"/>
  <c r="AD26" i="51"/>
  <c r="AD25" i="51" s="1"/>
  <c r="AE26" i="51"/>
  <c r="AE25" i="51" s="1"/>
  <c r="AF26" i="51"/>
  <c r="AG26" i="51"/>
  <c r="AG25" i="51" s="1"/>
  <c r="AH26" i="51"/>
  <c r="AH25" i="51" s="1"/>
  <c r="D26" i="51"/>
  <c r="E28" i="50"/>
  <c r="F28" i="50"/>
  <c r="G28" i="50"/>
  <c r="H28" i="50"/>
  <c r="I28" i="50"/>
  <c r="J28" i="50"/>
  <c r="K28" i="50"/>
  <c r="L28" i="50"/>
  <c r="M28" i="50"/>
  <c r="N28" i="50"/>
  <c r="O28" i="50"/>
  <c r="P28" i="50"/>
  <c r="Q28" i="50"/>
  <c r="R28" i="50"/>
  <c r="S28" i="50"/>
  <c r="T28" i="50"/>
  <c r="U28" i="50"/>
  <c r="V28" i="50"/>
  <c r="W28" i="50"/>
  <c r="X28" i="50"/>
  <c r="Y28" i="50"/>
  <c r="Z28" i="50"/>
  <c r="AA28" i="50"/>
  <c r="AB28" i="50"/>
  <c r="AC28" i="50"/>
  <c r="AD28" i="50"/>
  <c r="AE28" i="50"/>
  <c r="AF28" i="50"/>
  <c r="AG28" i="50"/>
  <c r="D28" i="50"/>
  <c r="E26" i="50"/>
  <c r="E25" i="50" s="1"/>
  <c r="F26" i="50"/>
  <c r="G26" i="50"/>
  <c r="H26" i="50"/>
  <c r="H25" i="50" s="1"/>
  <c r="I26" i="50"/>
  <c r="J26" i="50"/>
  <c r="K26" i="50"/>
  <c r="L26" i="50"/>
  <c r="L25" i="50" s="1"/>
  <c r="M26" i="50"/>
  <c r="M25" i="50" s="1"/>
  <c r="N26" i="50"/>
  <c r="O26" i="50"/>
  <c r="P26" i="50"/>
  <c r="P25" i="50" s="1"/>
  <c r="Q26" i="50"/>
  <c r="R26" i="50"/>
  <c r="S26" i="50"/>
  <c r="T26" i="50"/>
  <c r="T25" i="50" s="1"/>
  <c r="U26" i="50"/>
  <c r="U25" i="50" s="1"/>
  <c r="V26" i="50"/>
  <c r="W26" i="50"/>
  <c r="X26" i="50"/>
  <c r="Y26" i="50"/>
  <c r="Z26" i="50"/>
  <c r="AA26" i="50"/>
  <c r="AB26" i="50"/>
  <c r="AC26" i="50"/>
  <c r="AC25" i="50" s="1"/>
  <c r="AD26" i="50"/>
  <c r="AE26" i="50"/>
  <c r="AF26" i="50"/>
  <c r="AF25" i="50" s="1"/>
  <c r="AG26" i="50"/>
  <c r="D26" i="50"/>
  <c r="E28" i="49"/>
  <c r="F28" i="49"/>
  <c r="G28" i="49"/>
  <c r="H28" i="49"/>
  <c r="I28" i="49"/>
  <c r="J28" i="49"/>
  <c r="K28" i="49"/>
  <c r="L28" i="49"/>
  <c r="M28" i="49"/>
  <c r="N28" i="49"/>
  <c r="O28" i="49"/>
  <c r="P28" i="49"/>
  <c r="Q28" i="49"/>
  <c r="R28" i="49"/>
  <c r="S28" i="49"/>
  <c r="T28" i="49"/>
  <c r="U28" i="49"/>
  <c r="V28" i="49"/>
  <c r="W28" i="49"/>
  <c r="X28" i="49"/>
  <c r="Y28" i="49"/>
  <c r="Z28" i="49"/>
  <c r="AA28" i="49"/>
  <c r="AB28" i="49"/>
  <c r="AC28" i="49"/>
  <c r="AD28" i="49"/>
  <c r="AE28" i="49"/>
  <c r="AF28" i="49"/>
  <c r="AG28" i="49"/>
  <c r="AH28" i="49"/>
  <c r="D28" i="49"/>
  <c r="E26" i="49"/>
  <c r="F26" i="49"/>
  <c r="G26" i="49"/>
  <c r="G25" i="49" s="1"/>
  <c r="H26" i="49"/>
  <c r="I26" i="49"/>
  <c r="J26" i="49"/>
  <c r="J25" i="49" s="1"/>
  <c r="K26" i="49"/>
  <c r="K25" i="49" s="1"/>
  <c r="L26" i="49"/>
  <c r="L25" i="49" s="1"/>
  <c r="M26" i="49"/>
  <c r="N26" i="49"/>
  <c r="O26" i="49"/>
  <c r="O25" i="49" s="1"/>
  <c r="P26" i="49"/>
  <c r="P25" i="49" s="1"/>
  <c r="Q26" i="49"/>
  <c r="R26" i="49"/>
  <c r="R25" i="49" s="1"/>
  <c r="S26" i="49"/>
  <c r="S25" i="49" s="1"/>
  <c r="T26" i="49"/>
  <c r="T25" i="49" s="1"/>
  <c r="U26" i="49"/>
  <c r="V26" i="49"/>
  <c r="W26" i="49"/>
  <c r="X26" i="49"/>
  <c r="X25" i="49" s="1"/>
  <c r="Y26" i="49"/>
  <c r="Z26" i="49"/>
  <c r="Z25" i="49" s="1"/>
  <c r="AA26" i="49"/>
  <c r="AA25" i="49" s="1"/>
  <c r="AB26" i="49"/>
  <c r="AB25" i="49" s="1"/>
  <c r="AC26" i="49"/>
  <c r="AD26" i="49"/>
  <c r="AE26" i="49"/>
  <c r="AE25" i="49" s="1"/>
  <c r="AF26" i="49"/>
  <c r="AF25" i="49" s="1"/>
  <c r="AG26" i="49"/>
  <c r="AH26" i="49"/>
  <c r="AH25" i="49" s="1"/>
  <c r="E28" i="48"/>
  <c r="F28" i="48"/>
  <c r="G28" i="48"/>
  <c r="H28" i="48"/>
  <c r="I28" i="48"/>
  <c r="J28" i="48"/>
  <c r="K28" i="48"/>
  <c r="L28" i="48"/>
  <c r="M28" i="48"/>
  <c r="N28" i="48"/>
  <c r="O28" i="48"/>
  <c r="P28" i="48"/>
  <c r="Q28" i="48"/>
  <c r="R28" i="48"/>
  <c r="S28" i="48"/>
  <c r="T28" i="48"/>
  <c r="U28" i="48"/>
  <c r="V28" i="48"/>
  <c r="W28" i="48"/>
  <c r="X28" i="48"/>
  <c r="Y28" i="48"/>
  <c r="Z28" i="48"/>
  <c r="AA28" i="48"/>
  <c r="AB28" i="48"/>
  <c r="AC28" i="48"/>
  <c r="AD28" i="48"/>
  <c r="AE28" i="48"/>
  <c r="AF28" i="48"/>
  <c r="AG28" i="48"/>
  <c r="E26" i="48"/>
  <c r="F26" i="48"/>
  <c r="G26" i="48"/>
  <c r="G25" i="48" s="1"/>
  <c r="H26" i="48"/>
  <c r="I26" i="48"/>
  <c r="J26" i="48"/>
  <c r="K26" i="48"/>
  <c r="L26" i="48"/>
  <c r="M26" i="48"/>
  <c r="N26" i="48"/>
  <c r="O26" i="48"/>
  <c r="P26" i="48"/>
  <c r="P25" i="48" s="1"/>
  <c r="Q26" i="48"/>
  <c r="R26" i="48"/>
  <c r="S26" i="48"/>
  <c r="S25" i="48" s="1"/>
  <c r="T26" i="48"/>
  <c r="U26" i="48"/>
  <c r="V26" i="48"/>
  <c r="W26" i="48"/>
  <c r="W25" i="48" s="1"/>
  <c r="X26" i="48"/>
  <c r="X25" i="48" s="1"/>
  <c r="Y26" i="48"/>
  <c r="Z26" i="48"/>
  <c r="AA26" i="48"/>
  <c r="AA25" i="48" s="1"/>
  <c r="AB26" i="48"/>
  <c r="AC26" i="48"/>
  <c r="AD26" i="48"/>
  <c r="AE26" i="48"/>
  <c r="AE25" i="48" s="1"/>
  <c r="AF26" i="48"/>
  <c r="AF25" i="48" s="1"/>
  <c r="AG26" i="48"/>
  <c r="AH26" i="48"/>
  <c r="D28" i="48"/>
  <c r="D26" i="48"/>
  <c r="E28" i="47"/>
  <c r="F28" i="47"/>
  <c r="G28" i="47"/>
  <c r="H28" i="47"/>
  <c r="I28" i="47"/>
  <c r="J28" i="47"/>
  <c r="K28" i="47"/>
  <c r="L28" i="47"/>
  <c r="M28" i="47"/>
  <c r="N28" i="47"/>
  <c r="O28" i="47"/>
  <c r="P28" i="47"/>
  <c r="Q28" i="47"/>
  <c r="R28" i="47"/>
  <c r="S28" i="47"/>
  <c r="T28" i="47"/>
  <c r="U28" i="47"/>
  <c r="V28" i="47"/>
  <c r="W28" i="47"/>
  <c r="X28" i="47"/>
  <c r="Y28" i="47"/>
  <c r="Z28" i="47"/>
  <c r="AA28" i="47"/>
  <c r="AB28" i="47"/>
  <c r="AC28" i="47"/>
  <c r="AD28" i="47"/>
  <c r="AE28" i="47"/>
  <c r="AF28" i="47"/>
  <c r="AG28" i="47"/>
  <c r="AH28" i="47"/>
  <c r="E26" i="47"/>
  <c r="F26" i="47"/>
  <c r="F25" i="47" s="1"/>
  <c r="G26" i="47"/>
  <c r="G25" i="47" s="1"/>
  <c r="H26" i="47"/>
  <c r="H25" i="47" s="1"/>
  <c r="I26" i="47"/>
  <c r="I25" i="47" s="1"/>
  <c r="J26" i="47"/>
  <c r="J25" i="47" s="1"/>
  <c r="K26" i="47"/>
  <c r="K25" i="47" s="1"/>
  <c r="L26" i="47"/>
  <c r="L25" i="47" s="1"/>
  <c r="M26" i="47"/>
  <c r="M25" i="47" s="1"/>
  <c r="N26" i="47"/>
  <c r="N25" i="47" s="1"/>
  <c r="O26" i="47"/>
  <c r="O25" i="47" s="1"/>
  <c r="P26" i="47"/>
  <c r="P25" i="47" s="1"/>
  <c r="Q26" i="47"/>
  <c r="Q25" i="47" s="1"/>
  <c r="R26" i="47"/>
  <c r="S26" i="47"/>
  <c r="S25" i="47" s="1"/>
  <c r="T26" i="47"/>
  <c r="T25" i="47" s="1"/>
  <c r="U26" i="47"/>
  <c r="U25" i="47" s="1"/>
  <c r="V26" i="47"/>
  <c r="V25" i="47" s="1"/>
  <c r="W26" i="47"/>
  <c r="X26" i="47"/>
  <c r="X25" i="47" s="1"/>
  <c r="Y26" i="47"/>
  <c r="Y25" i="47" s="1"/>
  <c r="Z26" i="47"/>
  <c r="Z25" i="47" s="1"/>
  <c r="AA26" i="47"/>
  <c r="AA25" i="47" s="1"/>
  <c r="AB26" i="47"/>
  <c r="AB25" i="47" s="1"/>
  <c r="AC26" i="47"/>
  <c r="AC25" i="47" s="1"/>
  <c r="AD26" i="47"/>
  <c r="AD25" i="47" s="1"/>
  <c r="AE26" i="47"/>
  <c r="AE25" i="47" s="1"/>
  <c r="AF26" i="47"/>
  <c r="AF25" i="47" s="1"/>
  <c r="AG26" i="47"/>
  <c r="AG25" i="47" s="1"/>
  <c r="AH26" i="47"/>
  <c r="D28" i="47"/>
  <c r="D26" i="47"/>
  <c r="F28" i="46"/>
  <c r="G28" i="46"/>
  <c r="H28" i="46"/>
  <c r="I28" i="46"/>
  <c r="J28" i="46"/>
  <c r="K28" i="46"/>
  <c r="L28" i="46"/>
  <c r="M28" i="46"/>
  <c r="N28" i="46"/>
  <c r="O28" i="46"/>
  <c r="P28" i="46"/>
  <c r="Q28" i="46"/>
  <c r="R28" i="46"/>
  <c r="S28" i="46"/>
  <c r="T28" i="46"/>
  <c r="U28" i="46"/>
  <c r="V28" i="46"/>
  <c r="W28" i="46"/>
  <c r="X28" i="46"/>
  <c r="Y28" i="46"/>
  <c r="Z28" i="46"/>
  <c r="AA28" i="46"/>
  <c r="AB28" i="46"/>
  <c r="AC28" i="46"/>
  <c r="AD28" i="46"/>
  <c r="E26" i="46"/>
  <c r="F26" i="46"/>
  <c r="F25" i="46" s="1"/>
  <c r="G26" i="46"/>
  <c r="G25" i="46" s="1"/>
  <c r="H26" i="46"/>
  <c r="I26" i="46"/>
  <c r="J26" i="46"/>
  <c r="J25" i="46" s="1"/>
  <c r="K26" i="46"/>
  <c r="L26" i="46"/>
  <c r="L25" i="46" s="1"/>
  <c r="M26" i="46"/>
  <c r="N26" i="46"/>
  <c r="O26" i="46"/>
  <c r="O25" i="46" s="1"/>
  <c r="P26" i="46"/>
  <c r="P25" i="46" s="1"/>
  <c r="Q26" i="46"/>
  <c r="R26" i="46"/>
  <c r="R25" i="46" s="1"/>
  <c r="S26" i="46"/>
  <c r="T26" i="46"/>
  <c r="U26" i="46"/>
  <c r="V26" i="46"/>
  <c r="V25" i="46" s="1"/>
  <c r="W26" i="46"/>
  <c r="W25" i="46" s="1"/>
  <c r="X26" i="46"/>
  <c r="X25" i="46" s="1"/>
  <c r="Y26" i="46"/>
  <c r="Y25" i="46" s="1"/>
  <c r="Z26" i="46"/>
  <c r="Z25" i="46" s="1"/>
  <c r="AA26" i="46"/>
  <c r="AA25" i="46" s="1"/>
  <c r="AB26" i="46"/>
  <c r="AB25" i="46" s="1"/>
  <c r="AC26" i="46"/>
  <c r="AD26" i="46"/>
  <c r="AD25" i="46" s="1"/>
  <c r="AE26" i="46"/>
  <c r="AE25" i="46" s="1"/>
  <c r="AF26" i="46"/>
  <c r="AF25" i="46" s="1"/>
  <c r="D26" i="46"/>
  <c r="D25" i="46" s="1"/>
  <c r="D28" i="42"/>
  <c r="E28" i="42"/>
  <c r="F28" i="42"/>
  <c r="G28" i="42"/>
  <c r="H28" i="42"/>
  <c r="I28" i="42"/>
  <c r="J28" i="42"/>
  <c r="K28" i="42"/>
  <c r="L28" i="42"/>
  <c r="M28" i="42"/>
  <c r="N28" i="42"/>
  <c r="O28" i="42"/>
  <c r="P28" i="42"/>
  <c r="Q28" i="42"/>
  <c r="R28" i="42"/>
  <c r="S28" i="42"/>
  <c r="T28" i="42"/>
  <c r="U28" i="42"/>
  <c r="V28" i="42"/>
  <c r="W28" i="42"/>
  <c r="X28" i="42"/>
  <c r="Y28" i="42"/>
  <c r="Z28" i="42"/>
  <c r="AA28" i="42"/>
  <c r="AB28" i="42"/>
  <c r="AC28" i="42"/>
  <c r="AD28" i="42"/>
  <c r="AE28" i="42"/>
  <c r="AF28" i="42"/>
  <c r="AG28" i="42"/>
  <c r="AH28" i="42"/>
  <c r="E26" i="42"/>
  <c r="F26" i="42"/>
  <c r="F25" i="42" s="1"/>
  <c r="G26" i="42"/>
  <c r="G25" i="42" s="1"/>
  <c r="H26" i="42"/>
  <c r="H25" i="42" s="1"/>
  <c r="I26" i="42"/>
  <c r="I25" i="42" s="1"/>
  <c r="J26" i="42"/>
  <c r="J25" i="42" s="1"/>
  <c r="K26" i="42"/>
  <c r="K25" i="42" s="1"/>
  <c r="L26" i="42"/>
  <c r="L25" i="42" s="1"/>
  <c r="M26" i="42"/>
  <c r="M25" i="42" s="1"/>
  <c r="N26" i="42"/>
  <c r="O26" i="42"/>
  <c r="O25" i="42" s="1"/>
  <c r="P26" i="42"/>
  <c r="Q26" i="42"/>
  <c r="Q25" i="42" s="1"/>
  <c r="R26" i="42"/>
  <c r="R25" i="42" s="1"/>
  <c r="S26" i="42"/>
  <c r="S25" i="42" s="1"/>
  <c r="T26" i="42"/>
  <c r="T25" i="42" s="1"/>
  <c r="U26" i="42"/>
  <c r="V26" i="42"/>
  <c r="W26" i="42"/>
  <c r="X26" i="42"/>
  <c r="Y26" i="42"/>
  <c r="Y25" i="42" s="1"/>
  <c r="Z26" i="42"/>
  <c r="Z25" i="42" s="1"/>
  <c r="AA26" i="42"/>
  <c r="AA25" i="42" s="1"/>
  <c r="AB26" i="42"/>
  <c r="AB25" i="42" s="1"/>
  <c r="AC26" i="42"/>
  <c r="AD26" i="42"/>
  <c r="AD25" i="42" s="1"/>
  <c r="AE26" i="42"/>
  <c r="AF26" i="42"/>
  <c r="AF25" i="42" s="1"/>
  <c r="AG26" i="42"/>
  <c r="AG25" i="42" s="1"/>
  <c r="AH26" i="42"/>
  <c r="AH25" i="42" s="1"/>
  <c r="D26" i="42"/>
  <c r="D25" i="42" s="1"/>
  <c r="G5" i="39"/>
  <c r="G6" i="39"/>
  <c r="G7" i="39"/>
  <c r="G8" i="39"/>
  <c r="G12" i="39"/>
  <c r="G13" i="39"/>
  <c r="G14" i="39"/>
  <c r="G15" i="39"/>
  <c r="G16" i="39"/>
  <c r="G17" i="39"/>
  <c r="G18" i="39"/>
  <c r="G19" i="39"/>
  <c r="G32" i="39"/>
  <c r="C40" i="46"/>
  <c r="B11" i="42"/>
  <c r="G36" i="39"/>
  <c r="I36" i="39"/>
  <c r="G35" i="39"/>
  <c r="I35" i="39"/>
  <c r="I5" i="39"/>
  <c r="N5" i="39"/>
  <c r="N6" i="39" s="1"/>
  <c r="D3" i="47" s="1"/>
  <c r="E3" i="47" s="1"/>
  <c r="F3" i="47" s="1"/>
  <c r="G3" i="47" s="1"/>
  <c r="H3" i="47" s="1"/>
  <c r="I3" i="47" s="1"/>
  <c r="J3" i="47" s="1"/>
  <c r="K3" i="47" s="1"/>
  <c r="L3" i="47" s="1"/>
  <c r="M3" i="47" s="1"/>
  <c r="N3" i="47" s="1"/>
  <c r="O3" i="47" s="1"/>
  <c r="P3" i="47" s="1"/>
  <c r="Q3" i="47" s="1"/>
  <c r="R3" i="47" s="1"/>
  <c r="S3" i="47" s="1"/>
  <c r="T3" i="47" s="1"/>
  <c r="U3" i="47" s="1"/>
  <c r="V3" i="47" s="1"/>
  <c r="W3" i="47" s="1"/>
  <c r="X3" i="47" s="1"/>
  <c r="Y3" i="47" s="1"/>
  <c r="Z3" i="47" s="1"/>
  <c r="AA3" i="47" s="1"/>
  <c r="AB3" i="47" s="1"/>
  <c r="AC3" i="47" s="1"/>
  <c r="AD3" i="47" s="1"/>
  <c r="AE3" i="47" s="1"/>
  <c r="AF3" i="47" s="1"/>
  <c r="AG3" i="47" s="1"/>
  <c r="AH3" i="47" s="1"/>
  <c r="D6" i="44"/>
  <c r="B21" i="42"/>
  <c r="E25" i="42"/>
  <c r="D34" i="42"/>
  <c r="B34" i="42"/>
  <c r="B20" i="42"/>
  <c r="B19" i="42"/>
  <c r="B18" i="42"/>
  <c r="B17" i="42"/>
  <c r="B16" i="42"/>
  <c r="B15" i="42"/>
  <c r="B14" i="42"/>
  <c r="B13" i="42"/>
  <c r="B12" i="42"/>
  <c r="B10" i="42"/>
  <c r="B9" i="42"/>
  <c r="B8" i="42"/>
  <c r="B7" i="42"/>
  <c r="B6" i="42"/>
  <c r="B5" i="42"/>
  <c r="Y9" i="44"/>
  <c r="AD9" i="44" s="1"/>
  <c r="Y10" i="44"/>
  <c r="AD10" i="44" s="1"/>
  <c r="Y11" i="44"/>
  <c r="AD11" i="44" s="1"/>
  <c r="Y12" i="44"/>
  <c r="AD12" i="44" s="1"/>
  <c r="Y13" i="44"/>
  <c r="AD13" i="44" s="1"/>
  <c r="Y14" i="44"/>
  <c r="AD14" i="44" s="1"/>
  <c r="Y15" i="44"/>
  <c r="AD15" i="44" s="1"/>
  <c r="Y16" i="44"/>
  <c r="AD16" i="44" s="1"/>
  <c r="Y17" i="44"/>
  <c r="AD17" i="44" s="1"/>
  <c r="Y18" i="44"/>
  <c r="AD18" i="44" s="1"/>
  <c r="Y19" i="44"/>
  <c r="AD19" i="44" s="1"/>
  <c r="Y20" i="44"/>
  <c r="AD20" i="44" s="1"/>
  <c r="Y21" i="44"/>
  <c r="AD21" i="44" s="1"/>
  <c r="Y22" i="44"/>
  <c r="AD22" i="44" s="1"/>
  <c r="Y23" i="44"/>
  <c r="AD23" i="44" s="1"/>
  <c r="Y24" i="44"/>
  <c r="AD24" i="44" s="1"/>
  <c r="Y25" i="44"/>
  <c r="AD25" i="44" s="1"/>
  <c r="Y26" i="44"/>
  <c r="AD26" i="44" s="1"/>
  <c r="Y8" i="44"/>
  <c r="AD8" i="44" s="1"/>
  <c r="Z26" i="44"/>
  <c r="AE26" i="44" s="1"/>
  <c r="Z25" i="44"/>
  <c r="AE25" i="44" s="1"/>
  <c r="Z24" i="44"/>
  <c r="AE24" i="44" s="1"/>
  <c r="Z23" i="44"/>
  <c r="AE23" i="44" s="1"/>
  <c r="Z22" i="44"/>
  <c r="AE22" i="44" s="1"/>
  <c r="Z21" i="44"/>
  <c r="AE21" i="44" s="1"/>
  <c r="Z20" i="44"/>
  <c r="AE20" i="44" s="1"/>
  <c r="Z19" i="44"/>
  <c r="AE19" i="44" s="1"/>
  <c r="Z18" i="44"/>
  <c r="AE18" i="44" s="1"/>
  <c r="Z17" i="44"/>
  <c r="AE17" i="44" s="1"/>
  <c r="Z16" i="44"/>
  <c r="AE16" i="44" s="1"/>
  <c r="Z15" i="44"/>
  <c r="AE15" i="44" s="1"/>
  <c r="Z14" i="44"/>
  <c r="AE14" i="44" s="1"/>
  <c r="Z13" i="44"/>
  <c r="AE13" i="44" s="1"/>
  <c r="Z12" i="44"/>
  <c r="AE12" i="44" s="1"/>
  <c r="Z11" i="44"/>
  <c r="AE11" i="44" s="1"/>
  <c r="Z10" i="44"/>
  <c r="AE10" i="44" s="1"/>
  <c r="Z9" i="44"/>
  <c r="AE9" i="44" s="1"/>
  <c r="Z8" i="44"/>
  <c r="AE8" i="44" s="1"/>
  <c r="AF9" i="44"/>
  <c r="AF10" i="44"/>
  <c r="AF11" i="44"/>
  <c r="AF12" i="44"/>
  <c r="AF13" i="44"/>
  <c r="AF14" i="44"/>
  <c r="AF15" i="44"/>
  <c r="AF16" i="44"/>
  <c r="AF17" i="44"/>
  <c r="AF18" i="44"/>
  <c r="AF19" i="44"/>
  <c r="AF20" i="44"/>
  <c r="AF21" i="44"/>
  <c r="AF22" i="44"/>
  <c r="AF23" i="44"/>
  <c r="AF24" i="44"/>
  <c r="AF25" i="44"/>
  <c r="AF26" i="44"/>
  <c r="AF8" i="44"/>
  <c r="X26" i="44"/>
  <c r="AC26" i="44" s="1"/>
  <c r="X25" i="44"/>
  <c r="AC25" i="44"/>
  <c r="X24" i="44"/>
  <c r="AC24" i="44" s="1"/>
  <c r="X23" i="44"/>
  <c r="AC23" i="44" s="1"/>
  <c r="X22" i="44"/>
  <c r="AC22" i="44" s="1"/>
  <c r="X21" i="44"/>
  <c r="AC21" i="44" s="1"/>
  <c r="X20" i="44"/>
  <c r="AC20" i="44" s="1"/>
  <c r="X19" i="44"/>
  <c r="AC19" i="44" s="1"/>
  <c r="X18" i="44"/>
  <c r="AC18" i="44" s="1"/>
  <c r="X17" i="44"/>
  <c r="AC17" i="44" s="1"/>
  <c r="X16" i="44"/>
  <c r="AC16" i="44" s="1"/>
  <c r="X15" i="44"/>
  <c r="AC15" i="44" s="1"/>
  <c r="X14" i="44"/>
  <c r="AC14" i="44" s="1"/>
  <c r="X13" i="44"/>
  <c r="AC13" i="44" s="1"/>
  <c r="X12" i="44"/>
  <c r="AC12" i="44" s="1"/>
  <c r="X11" i="44"/>
  <c r="AC11" i="44" s="1"/>
  <c r="X10" i="44"/>
  <c r="AC10" i="44" s="1"/>
  <c r="X9" i="44"/>
  <c r="AC9" i="44" s="1"/>
  <c r="X8" i="44"/>
  <c r="AC8" i="44" s="1"/>
  <c r="W26" i="44"/>
  <c r="AA26" i="44" s="1"/>
  <c r="W25" i="44"/>
  <c r="AA25" i="44" s="1"/>
  <c r="W24" i="44"/>
  <c r="AA24" i="44" s="1"/>
  <c r="W23" i="44"/>
  <c r="AA23" i="44" s="1"/>
  <c r="W22" i="44"/>
  <c r="AA22" i="44" s="1"/>
  <c r="W21" i="44"/>
  <c r="AA21" i="44" s="1"/>
  <c r="W20" i="44"/>
  <c r="AA20" i="44" s="1"/>
  <c r="W19" i="44"/>
  <c r="AA19" i="44" s="1"/>
  <c r="W18" i="44"/>
  <c r="AA18" i="44" s="1"/>
  <c r="W17" i="44"/>
  <c r="AA17" i="44" s="1"/>
  <c r="W16" i="44"/>
  <c r="AA16" i="44" s="1"/>
  <c r="W15" i="44"/>
  <c r="AA15" i="44" s="1"/>
  <c r="W14" i="44"/>
  <c r="AA14" i="44" s="1"/>
  <c r="W13" i="44"/>
  <c r="AA13" i="44" s="1"/>
  <c r="W12" i="44"/>
  <c r="AA12" i="44" s="1"/>
  <c r="W11" i="44"/>
  <c r="AA11" i="44" s="1"/>
  <c r="W10" i="44"/>
  <c r="AA10" i="44" s="1"/>
  <c r="W9" i="44"/>
  <c r="AA9" i="44" s="1"/>
  <c r="I1" i="57"/>
  <c r="B6" i="57"/>
  <c r="AI5" i="56"/>
  <c r="O5" i="57" s="1"/>
  <c r="AI6" i="56"/>
  <c r="AJ6" i="56" s="1"/>
  <c r="O6" i="57"/>
  <c r="AI7" i="56"/>
  <c r="AJ7" i="56" s="1"/>
  <c r="AI8" i="56"/>
  <c r="O8" i="57" s="1"/>
  <c r="AI9" i="56"/>
  <c r="O9" i="57" s="1"/>
  <c r="AI10" i="56"/>
  <c r="O10" i="57" s="1"/>
  <c r="AI11" i="56"/>
  <c r="AJ11" i="56" s="1"/>
  <c r="O11" i="57"/>
  <c r="AI12" i="56"/>
  <c r="O12" i="57" s="1"/>
  <c r="AI13" i="56"/>
  <c r="O13" i="57" s="1"/>
  <c r="AI14" i="56"/>
  <c r="AJ14" i="56" s="1"/>
  <c r="O14" i="57"/>
  <c r="AI15" i="56"/>
  <c r="AJ15" i="56" s="1"/>
  <c r="AI16" i="56"/>
  <c r="O16" i="57" s="1"/>
  <c r="AI17" i="56"/>
  <c r="O17" i="57" s="1"/>
  <c r="AI18" i="56"/>
  <c r="O18" i="57" s="1"/>
  <c r="AI19" i="56"/>
  <c r="AJ19" i="56" s="1"/>
  <c r="O19" i="57"/>
  <c r="AI20" i="56"/>
  <c r="O20" i="57" s="1"/>
  <c r="AI21" i="56"/>
  <c r="O21" i="57" s="1"/>
  <c r="AI22" i="56"/>
  <c r="O22" i="57"/>
  <c r="AI23" i="56"/>
  <c r="O23" i="57" s="1"/>
  <c r="AI4" i="56"/>
  <c r="AJ4" i="56" s="1"/>
  <c r="L5" i="57"/>
  <c r="G5" i="57"/>
  <c r="E28" i="46"/>
  <c r="AI5" i="42"/>
  <c r="AJ5" i="42" s="1"/>
  <c r="AI6" i="42"/>
  <c r="D6" i="57" s="1"/>
  <c r="AI4" i="47"/>
  <c r="AJ4" i="47" s="1"/>
  <c r="E22" i="57"/>
  <c r="AI4" i="42"/>
  <c r="AJ4" i="65" s="1"/>
  <c r="B22" i="57"/>
  <c r="B21" i="57"/>
  <c r="B20" i="57"/>
  <c r="B19" i="57"/>
  <c r="B18" i="57"/>
  <c r="B17" i="57"/>
  <c r="B16" i="57"/>
  <c r="B15" i="57"/>
  <c r="B14" i="57"/>
  <c r="B13" i="57"/>
  <c r="B12" i="57"/>
  <c r="B11" i="57"/>
  <c r="B10" i="57"/>
  <c r="B9" i="57"/>
  <c r="B8" i="57"/>
  <c r="B5" i="57"/>
  <c r="B4" i="57"/>
  <c r="C2" i="57"/>
  <c r="C40" i="56"/>
  <c r="C2" i="56" s="1"/>
  <c r="AD25" i="56"/>
  <c r="AC25" i="56"/>
  <c r="AB25" i="56"/>
  <c r="V25" i="56"/>
  <c r="U25" i="56"/>
  <c r="T25" i="56"/>
  <c r="O25" i="56"/>
  <c r="M25" i="56"/>
  <c r="L25" i="56"/>
  <c r="K25" i="56"/>
  <c r="E25" i="56"/>
  <c r="C1" i="56"/>
  <c r="Q1" i="56"/>
  <c r="C40" i="55"/>
  <c r="C2" i="55" s="1"/>
  <c r="AH25" i="55"/>
  <c r="AE25" i="55"/>
  <c r="AD25" i="55"/>
  <c r="AC25" i="55"/>
  <c r="AA25" i="55"/>
  <c r="Z25" i="55"/>
  <c r="Y25" i="55"/>
  <c r="X25" i="55"/>
  <c r="W25" i="55"/>
  <c r="V25" i="55"/>
  <c r="U25" i="55"/>
  <c r="S25" i="55"/>
  <c r="R25" i="55"/>
  <c r="Q25" i="55"/>
  <c r="O25" i="55"/>
  <c r="N25" i="55"/>
  <c r="M25" i="55"/>
  <c r="K25" i="55"/>
  <c r="J25" i="55"/>
  <c r="I25" i="55"/>
  <c r="G25" i="55"/>
  <c r="F25" i="55"/>
  <c r="E25" i="55"/>
  <c r="D25" i="55"/>
  <c r="N23" i="57"/>
  <c r="N22" i="57"/>
  <c r="N21" i="57"/>
  <c r="N20" i="57"/>
  <c r="N15" i="57"/>
  <c r="N14" i="57"/>
  <c r="N13" i="57"/>
  <c r="N12" i="57"/>
  <c r="N7" i="57"/>
  <c r="N6" i="57"/>
  <c r="N5" i="57"/>
  <c r="C1" i="55"/>
  <c r="Q1" i="55"/>
  <c r="C40" i="54"/>
  <c r="C2" i="54" s="1"/>
  <c r="AH25" i="54"/>
  <c r="AG25" i="54"/>
  <c r="AD25" i="54"/>
  <c r="AB25" i="54"/>
  <c r="Z25" i="54"/>
  <c r="Y25" i="54"/>
  <c r="X25" i="54"/>
  <c r="V25" i="54"/>
  <c r="S25" i="54"/>
  <c r="Q25" i="54"/>
  <c r="O25" i="54"/>
  <c r="K25" i="54"/>
  <c r="J25" i="54"/>
  <c r="I25" i="54"/>
  <c r="G25" i="54"/>
  <c r="F25" i="54"/>
  <c r="D28" i="54"/>
  <c r="AI23" i="54"/>
  <c r="M23" i="57" s="1"/>
  <c r="AI22" i="54"/>
  <c r="M22" i="57" s="1"/>
  <c r="AI21" i="54"/>
  <c r="M21" i="57"/>
  <c r="AI20" i="54"/>
  <c r="M20" i="57" s="1"/>
  <c r="AI19" i="54"/>
  <c r="M19" i="57" s="1"/>
  <c r="AI18" i="54"/>
  <c r="M18" i="57"/>
  <c r="AI17" i="54"/>
  <c r="M17" i="57" s="1"/>
  <c r="AI16" i="54"/>
  <c r="AJ16" i="54" s="1"/>
  <c r="M16" i="57"/>
  <c r="AI15" i="54"/>
  <c r="M15" i="57" s="1"/>
  <c r="AI14" i="54"/>
  <c r="AJ14" i="54" s="1"/>
  <c r="M14" i="57"/>
  <c r="AI13" i="54"/>
  <c r="AJ13" i="54" s="1"/>
  <c r="M13" i="57"/>
  <c r="AI12" i="54"/>
  <c r="AJ12" i="54" s="1"/>
  <c r="AI11" i="54"/>
  <c r="M11" i="57" s="1"/>
  <c r="AI10" i="54"/>
  <c r="AJ10" i="54" s="1"/>
  <c r="M10" i="57"/>
  <c r="AI9" i="54"/>
  <c r="AJ9" i="54" s="1"/>
  <c r="M9" i="57"/>
  <c r="AI8" i="54"/>
  <c r="AJ8" i="54" s="1"/>
  <c r="M8" i="57"/>
  <c r="AI7" i="54"/>
  <c r="M7" i="57"/>
  <c r="AI6" i="54"/>
  <c r="AJ6" i="54" s="1"/>
  <c r="M6" i="57"/>
  <c r="AI5" i="54"/>
  <c r="AJ5" i="54" s="1"/>
  <c r="M5" i="57"/>
  <c r="AI4" i="54"/>
  <c r="AJ4" i="54" s="1"/>
  <c r="M4" i="57"/>
  <c r="C1" i="54"/>
  <c r="Q1" i="54"/>
  <c r="C40" i="53"/>
  <c r="C2" i="53" s="1"/>
  <c r="AF25" i="53"/>
  <c r="AD25" i="53"/>
  <c r="AC25" i="53"/>
  <c r="AB25" i="53"/>
  <c r="Z25" i="53"/>
  <c r="Y25" i="53"/>
  <c r="X25" i="53"/>
  <c r="U25" i="53"/>
  <c r="T25" i="53"/>
  <c r="Q25" i="53"/>
  <c r="P25" i="53"/>
  <c r="M25" i="53"/>
  <c r="L25" i="53"/>
  <c r="K25" i="53"/>
  <c r="I25" i="53"/>
  <c r="H25" i="53"/>
  <c r="F25" i="53"/>
  <c r="E25" i="53"/>
  <c r="L20" i="57"/>
  <c r="L17" i="57"/>
  <c r="L14" i="57"/>
  <c r="L12" i="57"/>
  <c r="L10" i="57"/>
  <c r="L9" i="57"/>
  <c r="L8" i="57"/>
  <c r="L6" i="57"/>
  <c r="L4" i="57"/>
  <c r="C1" i="53"/>
  <c r="Q1" i="53"/>
  <c r="C40" i="52"/>
  <c r="C2" i="52"/>
  <c r="AE25" i="52"/>
  <c r="AC25" i="52"/>
  <c r="AB25" i="52"/>
  <c r="X25" i="52"/>
  <c r="W25" i="52"/>
  <c r="V25" i="52"/>
  <c r="T25" i="52"/>
  <c r="Q25" i="52"/>
  <c r="P25" i="52"/>
  <c r="O25" i="52"/>
  <c r="M25" i="52"/>
  <c r="L25" i="52"/>
  <c r="H25" i="52"/>
  <c r="G25" i="52"/>
  <c r="F25" i="52"/>
  <c r="AI23" i="52"/>
  <c r="AJ23" i="52" s="1"/>
  <c r="K23" i="57"/>
  <c r="AI22" i="52"/>
  <c r="K22" i="57" s="1"/>
  <c r="AI21" i="52"/>
  <c r="K21" i="57"/>
  <c r="AI20" i="52"/>
  <c r="K20" i="57" s="1"/>
  <c r="AI19" i="52"/>
  <c r="K19" i="57" s="1"/>
  <c r="AI18" i="52"/>
  <c r="AJ18" i="52" s="1"/>
  <c r="K18" i="57"/>
  <c r="AI17" i="52"/>
  <c r="K17" i="57" s="1"/>
  <c r="AI16" i="52"/>
  <c r="K16" i="57" s="1"/>
  <c r="AI15" i="52"/>
  <c r="AJ15" i="52" s="1"/>
  <c r="AI14" i="52"/>
  <c r="AJ14" i="52" s="1"/>
  <c r="AI13" i="52"/>
  <c r="AJ13" i="52" s="1"/>
  <c r="AI12" i="52"/>
  <c r="K12" i="57" s="1"/>
  <c r="AI11" i="52"/>
  <c r="AJ11" i="52" s="1"/>
  <c r="K11" i="57"/>
  <c r="AI10" i="52"/>
  <c r="K10" i="57"/>
  <c r="AI9" i="52"/>
  <c r="AJ9" i="52" s="1"/>
  <c r="AI8" i="52"/>
  <c r="K8" i="57" s="1"/>
  <c r="AI7" i="52"/>
  <c r="AJ7" i="52" s="1"/>
  <c r="AI6" i="52"/>
  <c r="K6" i="57" s="1"/>
  <c r="AI5" i="52"/>
  <c r="K5" i="57" s="1"/>
  <c r="K4" i="57"/>
  <c r="C1" i="52"/>
  <c r="Q1" i="52"/>
  <c r="C40" i="51"/>
  <c r="C2" i="51" s="1"/>
  <c r="AF25" i="51"/>
  <c r="AA25" i="51"/>
  <c r="Z25" i="51"/>
  <c r="Y25" i="51"/>
  <c r="W25" i="51"/>
  <c r="V25" i="51"/>
  <c r="U25" i="51"/>
  <c r="R25" i="51"/>
  <c r="Q25" i="51"/>
  <c r="N25" i="51"/>
  <c r="M25" i="51"/>
  <c r="J25" i="51"/>
  <c r="I25" i="51"/>
  <c r="H25" i="51"/>
  <c r="F25" i="51"/>
  <c r="E25" i="51"/>
  <c r="D25" i="51"/>
  <c r="AI23" i="51"/>
  <c r="J23" i="57" s="1"/>
  <c r="AI22" i="51"/>
  <c r="J22" i="57" s="1"/>
  <c r="AI21" i="51"/>
  <c r="J21" i="57"/>
  <c r="AI20" i="51"/>
  <c r="AJ20" i="51" s="1"/>
  <c r="AI19" i="51"/>
  <c r="AJ19" i="51" s="1"/>
  <c r="J19" i="57"/>
  <c r="AI18" i="51"/>
  <c r="AJ18" i="51" s="1"/>
  <c r="AI17" i="51"/>
  <c r="AJ17" i="51" s="1"/>
  <c r="J17" i="57"/>
  <c r="AI16" i="51"/>
  <c r="J16" i="57" s="1"/>
  <c r="AI15" i="51"/>
  <c r="J15" i="57"/>
  <c r="AI14" i="51"/>
  <c r="AJ14" i="51" s="1"/>
  <c r="AI13" i="51"/>
  <c r="J13" i="57" s="1"/>
  <c r="AI12" i="51"/>
  <c r="AJ12" i="51" s="1"/>
  <c r="AI11" i="51"/>
  <c r="AJ11" i="51" s="1"/>
  <c r="AI10" i="51"/>
  <c r="AJ10" i="51" s="1"/>
  <c r="J10" i="57"/>
  <c r="AI9" i="51"/>
  <c r="J9" i="57" s="1"/>
  <c r="AI8" i="51"/>
  <c r="J8" i="57"/>
  <c r="AI7" i="51"/>
  <c r="J7" i="57" s="1"/>
  <c r="J6" i="57"/>
  <c r="AI5" i="51"/>
  <c r="J5" i="57" s="1"/>
  <c r="C1" i="51"/>
  <c r="Q1" i="51"/>
  <c r="C40" i="50"/>
  <c r="C2" i="50" s="1"/>
  <c r="AH28" i="50"/>
  <c r="AH26" i="50"/>
  <c r="AG25" i="50"/>
  <c r="AE25" i="50"/>
  <c r="AD25" i="50"/>
  <c r="AB25" i="50"/>
  <c r="AA25" i="50"/>
  <c r="Z25" i="50"/>
  <c r="Y25" i="50"/>
  <c r="X25" i="50"/>
  <c r="W25" i="50"/>
  <c r="V25" i="50"/>
  <c r="S25" i="50"/>
  <c r="R25" i="50"/>
  <c r="Q25" i="50"/>
  <c r="O25" i="50"/>
  <c r="N25" i="50"/>
  <c r="K25" i="50"/>
  <c r="J25" i="50"/>
  <c r="I25" i="50"/>
  <c r="G25" i="50"/>
  <c r="F25" i="50"/>
  <c r="D25" i="50"/>
  <c r="AH24" i="50"/>
  <c r="I22" i="57"/>
  <c r="I20" i="57"/>
  <c r="I18" i="57"/>
  <c r="I17" i="57"/>
  <c r="I15" i="57"/>
  <c r="I14" i="57"/>
  <c r="I13" i="57"/>
  <c r="I12" i="57"/>
  <c r="I10" i="57"/>
  <c r="I9" i="57"/>
  <c r="I5" i="57"/>
  <c r="I4" i="57"/>
  <c r="C1" i="50"/>
  <c r="Q1" i="50"/>
  <c r="C40" i="49"/>
  <c r="C2" i="49"/>
  <c r="AG25" i="49"/>
  <c r="AD25" i="49"/>
  <c r="AC25" i="49"/>
  <c r="Y25" i="49"/>
  <c r="W25" i="49"/>
  <c r="V25" i="49"/>
  <c r="U25" i="49"/>
  <c r="Q25" i="49"/>
  <c r="N25" i="49"/>
  <c r="M25" i="49"/>
  <c r="I25" i="49"/>
  <c r="H25" i="49"/>
  <c r="F25" i="49"/>
  <c r="E25" i="49"/>
  <c r="D26" i="49"/>
  <c r="AI26" i="49" s="1"/>
  <c r="AJ26" i="49" s="1"/>
  <c r="AI23" i="49"/>
  <c r="AJ23" i="49" s="1"/>
  <c r="H23" i="57"/>
  <c r="AI22" i="49"/>
  <c r="AJ22" i="49" s="1"/>
  <c r="H22" i="57"/>
  <c r="AI21" i="49"/>
  <c r="H21" i="57" s="1"/>
  <c r="AI20" i="49"/>
  <c r="AJ20" i="49" s="1"/>
  <c r="H20" i="57"/>
  <c r="AI19" i="49"/>
  <c r="H19" i="57" s="1"/>
  <c r="AI18" i="49"/>
  <c r="AJ18" i="49" s="1"/>
  <c r="H18" i="57"/>
  <c r="AI17" i="49"/>
  <c r="H17" i="57" s="1"/>
  <c r="AI16" i="49"/>
  <c r="AJ16" i="49" s="1"/>
  <c r="AI15" i="49"/>
  <c r="AJ15" i="49" s="1"/>
  <c r="H15" i="57"/>
  <c r="AI14" i="49"/>
  <c r="H14" i="57" s="1"/>
  <c r="AI13" i="49"/>
  <c r="H13" i="57" s="1"/>
  <c r="AI12" i="49"/>
  <c r="AJ12" i="49" s="1"/>
  <c r="AI11" i="49"/>
  <c r="AJ11" i="49" s="1"/>
  <c r="H11" i="57"/>
  <c r="AI10" i="49"/>
  <c r="H10" i="57" s="1"/>
  <c r="AI9" i="49"/>
  <c r="H9" i="57" s="1"/>
  <c r="AI8" i="49"/>
  <c r="AJ8" i="49" s="1"/>
  <c r="H8" i="57"/>
  <c r="AI7" i="49"/>
  <c r="AJ7" i="49" s="1"/>
  <c r="H7" i="57"/>
  <c r="AI6" i="49"/>
  <c r="AJ6" i="49" s="1"/>
  <c r="H6" i="57"/>
  <c r="AI5" i="49"/>
  <c r="H5" i="57" s="1"/>
  <c r="AI4" i="49"/>
  <c r="AJ4" i="49" s="1"/>
  <c r="H4" i="57"/>
  <c r="C1" i="49"/>
  <c r="Q1" i="49"/>
  <c r="C40" i="48"/>
  <c r="C2" i="48" s="1"/>
  <c r="AG25" i="48"/>
  <c r="AD25" i="48"/>
  <c r="AC25" i="48"/>
  <c r="AB25" i="48"/>
  <c r="Z25" i="48"/>
  <c r="Y25" i="48"/>
  <c r="V25" i="48"/>
  <c r="U25" i="48"/>
  <c r="T25" i="48"/>
  <c r="R25" i="48"/>
  <c r="Q25" i="48"/>
  <c r="O25" i="48"/>
  <c r="N25" i="48"/>
  <c r="M25" i="48"/>
  <c r="L25" i="48"/>
  <c r="K25" i="48"/>
  <c r="J25" i="48"/>
  <c r="I25" i="48"/>
  <c r="D25" i="48"/>
  <c r="E25" i="48"/>
  <c r="F25" i="48"/>
  <c r="G23" i="57"/>
  <c r="G22" i="57"/>
  <c r="G21" i="57"/>
  <c r="G18" i="57"/>
  <c r="G17" i="57"/>
  <c r="G16" i="57"/>
  <c r="G15" i="57"/>
  <c r="G13" i="57"/>
  <c r="G10" i="57"/>
  <c r="G9" i="57"/>
  <c r="G7" i="57"/>
  <c r="G6" i="57"/>
  <c r="C1" i="48"/>
  <c r="Q1" i="48"/>
  <c r="C40" i="47"/>
  <c r="C2" i="47" s="1"/>
  <c r="AH25" i="47"/>
  <c r="W25" i="47"/>
  <c r="R25" i="47"/>
  <c r="E25" i="47"/>
  <c r="F23" i="57"/>
  <c r="AI22" i="47"/>
  <c r="F22" i="57" s="1"/>
  <c r="AI21" i="47"/>
  <c r="F21" i="57" s="1"/>
  <c r="AI20" i="47"/>
  <c r="F20" i="57" s="1"/>
  <c r="AI19" i="47"/>
  <c r="F19" i="57" s="1"/>
  <c r="AI18" i="47"/>
  <c r="AJ18" i="47" s="1"/>
  <c r="AI17" i="47"/>
  <c r="AJ17" i="47" s="1"/>
  <c r="AI16" i="47"/>
  <c r="F16" i="57" s="1"/>
  <c r="AI15" i="47"/>
  <c r="AJ15" i="47" s="1"/>
  <c r="AI14" i="47"/>
  <c r="AJ14" i="47" s="1"/>
  <c r="AI13" i="47"/>
  <c r="AJ13" i="47" s="1"/>
  <c r="AI12" i="47"/>
  <c r="F12" i="57" s="1"/>
  <c r="AI11" i="47"/>
  <c r="AJ11" i="47" s="1"/>
  <c r="F11" i="57"/>
  <c r="AI10" i="47"/>
  <c r="AJ10" i="47" s="1"/>
  <c r="AI9" i="47"/>
  <c r="AJ9" i="47" s="1"/>
  <c r="AI8" i="47"/>
  <c r="F8" i="57" s="1"/>
  <c r="AI7" i="47"/>
  <c r="AJ7" i="47" s="1"/>
  <c r="F7" i="57"/>
  <c r="AI6" i="47"/>
  <c r="AJ6" i="47" s="1"/>
  <c r="AI5" i="47"/>
  <c r="F5" i="57" s="1"/>
  <c r="C1" i="47"/>
  <c r="Q1" i="47"/>
  <c r="C2" i="46"/>
  <c r="AH25" i="46"/>
  <c r="AG25" i="46"/>
  <c r="AC25" i="46"/>
  <c r="U25" i="46"/>
  <c r="T25" i="46"/>
  <c r="S25" i="46"/>
  <c r="Q25" i="46"/>
  <c r="N25" i="46"/>
  <c r="M25" i="46"/>
  <c r="K25" i="46"/>
  <c r="I25" i="46"/>
  <c r="H25" i="46"/>
  <c r="E25" i="46"/>
  <c r="AF28" i="46"/>
  <c r="AE28" i="46"/>
  <c r="D28" i="46"/>
  <c r="E20" i="57"/>
  <c r="E18" i="57"/>
  <c r="E17" i="57"/>
  <c r="E14" i="57"/>
  <c r="E10" i="57"/>
  <c r="E9" i="57"/>
  <c r="E8" i="57"/>
  <c r="E6" i="57"/>
  <c r="C1" i="46"/>
  <c r="Q1" i="46"/>
  <c r="G14" i="57"/>
  <c r="L21" i="57"/>
  <c r="I21" i="57"/>
  <c r="G23" i="39"/>
  <c r="H23" i="39"/>
  <c r="I23" i="39"/>
  <c r="G24" i="39"/>
  <c r="I24" i="39"/>
  <c r="G25" i="39"/>
  <c r="G26" i="39"/>
  <c r="I32" i="39"/>
  <c r="G34" i="39"/>
  <c r="I34" i="39"/>
  <c r="I17" i="39"/>
  <c r="D33" i="42"/>
  <c r="B33" i="42"/>
  <c r="N25" i="42"/>
  <c r="P25" i="42"/>
  <c r="U25" i="42"/>
  <c r="V25" i="42"/>
  <c r="W25" i="42"/>
  <c r="X25" i="42"/>
  <c r="AC25" i="42"/>
  <c r="AE25" i="42"/>
  <c r="I26" i="39"/>
  <c r="AI21" i="42"/>
  <c r="AJ21" i="42" s="1"/>
  <c r="AI22" i="42"/>
  <c r="D22" i="57" s="1"/>
  <c r="AI20" i="42"/>
  <c r="D20" i="57" s="1"/>
  <c r="AI19" i="42"/>
  <c r="D19" i="57" s="1"/>
  <c r="AI18" i="42"/>
  <c r="D18" i="57" s="1"/>
  <c r="AI17" i="42"/>
  <c r="AJ17" i="42" s="1"/>
  <c r="AI16" i="42"/>
  <c r="D16" i="57" s="1"/>
  <c r="AI15" i="42"/>
  <c r="AJ15" i="42" s="1"/>
  <c r="AI14" i="42"/>
  <c r="D14" i="57" s="1"/>
  <c r="AI13" i="42"/>
  <c r="D13" i="57" s="1"/>
  <c r="AI12" i="42"/>
  <c r="D12" i="57" s="1"/>
  <c r="AI11" i="42"/>
  <c r="D11" i="57" s="1"/>
  <c r="AI10" i="42"/>
  <c r="D10" i="57" s="1"/>
  <c r="AI9" i="42"/>
  <c r="D9" i="57" s="1"/>
  <c r="AI8" i="42"/>
  <c r="D8" i="57" s="1"/>
  <c r="AI7" i="42"/>
  <c r="AJ7" i="42" s="1"/>
  <c r="C40" i="42"/>
  <c r="C2" i="42" s="1"/>
  <c r="I12" i="39"/>
  <c r="H12" i="39"/>
  <c r="I8" i="39"/>
  <c r="I7" i="39"/>
  <c r="I6" i="39"/>
  <c r="I19" i="39"/>
  <c r="I18" i="39"/>
  <c r="I16" i="39"/>
  <c r="I15" i="39"/>
  <c r="I14" i="39"/>
  <c r="I13" i="39"/>
  <c r="H13" i="39"/>
  <c r="I25" i="39"/>
  <c r="D3" i="46"/>
  <c r="E3" i="46" s="1"/>
  <c r="F3" i="46" s="1"/>
  <c r="G3" i="46" s="1"/>
  <c r="H3" i="46" s="1"/>
  <c r="I3" i="46" s="1"/>
  <c r="J3" i="46" s="1"/>
  <c r="K3" i="46" s="1"/>
  <c r="L3" i="46" s="1"/>
  <c r="M3" i="46" s="1"/>
  <c r="N3" i="46" s="1"/>
  <c r="O3" i="46" s="1"/>
  <c r="P3" i="46" s="1"/>
  <c r="Q3" i="46" s="1"/>
  <c r="R3" i="46" s="1"/>
  <c r="S3" i="46" s="1"/>
  <c r="T3" i="46" s="1"/>
  <c r="U3" i="46" s="1"/>
  <c r="V3" i="46" s="1"/>
  <c r="W3" i="46" s="1"/>
  <c r="X3" i="46" s="1"/>
  <c r="Y3" i="46" s="1"/>
  <c r="Z3" i="46" s="1"/>
  <c r="AA3" i="46" s="1"/>
  <c r="AB3" i="46" s="1"/>
  <c r="AC3" i="46" s="1"/>
  <c r="AD3" i="46" s="1"/>
  <c r="AE3" i="46" s="1"/>
  <c r="AF3" i="46" s="1"/>
  <c r="AG3" i="46" s="1"/>
  <c r="AH3" i="46" s="1"/>
  <c r="AI24" i="49"/>
  <c r="H24" i="57" s="1"/>
  <c r="AI24" i="56"/>
  <c r="O24" i="57" s="1"/>
  <c r="AI24" i="52"/>
  <c r="K24" i="57" s="1"/>
  <c r="AI24" i="51"/>
  <c r="AJ24" i="51" s="1"/>
  <c r="AI24" i="54"/>
  <c r="M24" i="57" s="1"/>
  <c r="AI24" i="47"/>
  <c r="F24" i="57" s="1"/>
  <c r="AI24" i="42"/>
  <c r="I6" i="57"/>
  <c r="AJ22" i="51" l="1"/>
  <c r="W8" i="44"/>
  <c r="AA8" i="44" s="1"/>
  <c r="AA28" i="44" s="1"/>
  <c r="AJ8" i="65"/>
  <c r="D21" i="57"/>
  <c r="AJ14" i="65"/>
  <c r="D7" i="57"/>
  <c r="AJ19" i="65"/>
  <c r="AJ18" i="65"/>
  <c r="AJ21" i="65"/>
  <c r="AJ15" i="65"/>
  <c r="AJ11" i="65"/>
  <c r="AJ9" i="65"/>
  <c r="AJ12" i="65"/>
  <c r="AJ6" i="65"/>
  <c r="AJ16" i="65"/>
  <c r="D23" i="57"/>
  <c r="AJ10" i="65"/>
  <c r="AJ13" i="65"/>
  <c r="AJ23" i="65"/>
  <c r="AJ7" i="65"/>
  <c r="AF28" i="44"/>
  <c r="D30" i="44" s="1"/>
  <c r="Q30" i="52" s="1"/>
  <c r="O4" i="57"/>
  <c r="O28" i="57" s="1"/>
  <c r="AJ4" i="51"/>
  <c r="AE28" i="44"/>
  <c r="AC28" i="44"/>
  <c r="AJ17" i="65"/>
  <c r="AJ5" i="65"/>
  <c r="D4" i="57"/>
  <c r="D24" i="57"/>
  <c r="P24" i="57" s="1"/>
  <c r="Q24" i="57" s="1"/>
  <c r="AD28" i="44"/>
  <c r="AJ22" i="65"/>
  <c r="AJ24" i="65"/>
  <c r="AI26" i="65"/>
  <c r="AJ26" i="65" s="1"/>
  <c r="AI28" i="65"/>
  <c r="AJ28" i="65" s="1"/>
  <c r="Q33" i="46"/>
  <c r="Q33" i="65"/>
  <c r="F3" i="65"/>
  <c r="G25" i="65"/>
  <c r="AI26" i="56"/>
  <c r="AK4" i="56" s="1"/>
  <c r="AJ12" i="56"/>
  <c r="AJ9" i="56"/>
  <c r="AJ18" i="56"/>
  <c r="AJ10" i="56"/>
  <c r="AJ23" i="56"/>
  <c r="G25" i="56"/>
  <c r="O15" i="57"/>
  <c r="O7" i="57"/>
  <c r="AJ20" i="56"/>
  <c r="AJ18" i="55"/>
  <c r="AJ10" i="55"/>
  <c r="AJ19" i="55"/>
  <c r="AJ11" i="55"/>
  <c r="AJ8" i="55"/>
  <c r="AJ16" i="55"/>
  <c r="AJ17" i="54"/>
  <c r="AJ19" i="54"/>
  <c r="AJ23" i="54"/>
  <c r="AJ22" i="54"/>
  <c r="AJ20" i="54"/>
  <c r="AJ11" i="53"/>
  <c r="AJ15" i="53"/>
  <c r="L23" i="57"/>
  <c r="L7" i="57"/>
  <c r="AJ13" i="53"/>
  <c r="AJ18" i="53"/>
  <c r="AJ22" i="53"/>
  <c r="L19" i="57"/>
  <c r="AJ19" i="52"/>
  <c r="AJ17" i="52"/>
  <c r="AJ22" i="52"/>
  <c r="J24" i="57"/>
  <c r="J11" i="57"/>
  <c r="J14" i="57"/>
  <c r="J18" i="57"/>
  <c r="J20" i="57"/>
  <c r="AJ23" i="51"/>
  <c r="AJ7" i="51"/>
  <c r="I23" i="57"/>
  <c r="I7" i="57"/>
  <c r="AJ16" i="50"/>
  <c r="AJ10" i="49"/>
  <c r="AJ14" i="49"/>
  <c r="AJ17" i="49"/>
  <c r="H16" i="57"/>
  <c r="H26" i="57" s="1"/>
  <c r="AJ19" i="49"/>
  <c r="H12" i="57"/>
  <c r="H28" i="57" s="1"/>
  <c r="G12" i="57"/>
  <c r="AJ4" i="48"/>
  <c r="AJ8" i="48"/>
  <c r="AJ20" i="48"/>
  <c r="AI26" i="48"/>
  <c r="AJ26" i="48" s="1"/>
  <c r="AJ19" i="47"/>
  <c r="F6" i="57"/>
  <c r="F15" i="57"/>
  <c r="E5" i="57"/>
  <c r="E13" i="57"/>
  <c r="E21" i="57"/>
  <c r="P21" i="57" s="1"/>
  <c r="Q21" i="57" s="1"/>
  <c r="Q30" i="65"/>
  <c r="Q33" i="53"/>
  <c r="Q33" i="56"/>
  <c r="AJ4" i="55"/>
  <c r="AJ13" i="51"/>
  <c r="K9" i="57"/>
  <c r="K7" i="57"/>
  <c r="AJ8" i="52"/>
  <c r="K13" i="57"/>
  <c r="AJ12" i="52"/>
  <c r="AI28" i="52"/>
  <c r="AJ28" i="52" s="1"/>
  <c r="AI26" i="52"/>
  <c r="AI28" i="51"/>
  <c r="J4" i="57"/>
  <c r="AI26" i="51"/>
  <c r="L16" i="57"/>
  <c r="AJ16" i="56"/>
  <c r="AJ17" i="55"/>
  <c r="AI26" i="55"/>
  <c r="AJ26" i="55" s="1"/>
  <c r="AJ15" i="54"/>
  <c r="AI26" i="53"/>
  <c r="AJ26" i="53" s="1"/>
  <c r="AI28" i="53"/>
  <c r="K15" i="57"/>
  <c r="AJ6" i="52"/>
  <c r="AJ5" i="51"/>
  <c r="AJ5" i="52"/>
  <c r="K14" i="57"/>
  <c r="E11" i="57"/>
  <c r="E12" i="57"/>
  <c r="E19" i="57"/>
  <c r="F10" i="57"/>
  <c r="P10" i="57" s="1"/>
  <c r="Q10" i="57" s="1"/>
  <c r="F18" i="57"/>
  <c r="AJ8" i="47"/>
  <c r="AJ12" i="47"/>
  <c r="AJ20" i="47"/>
  <c r="F14" i="57"/>
  <c r="AI26" i="47"/>
  <c r="AJ26" i="47" s="1"/>
  <c r="AJ21" i="47"/>
  <c r="AJ5" i="47"/>
  <c r="AJ22" i="47"/>
  <c r="AJ16" i="47"/>
  <c r="AJ16" i="46"/>
  <c r="AJ24" i="46"/>
  <c r="AJ12" i="42"/>
  <c r="D15" i="57"/>
  <c r="AJ10" i="42"/>
  <c r="AJ19" i="42"/>
  <c r="AJ11" i="42"/>
  <c r="AJ20" i="42"/>
  <c r="AJ13" i="42"/>
  <c r="AJ22" i="42"/>
  <c r="AJ14" i="42"/>
  <c r="AJ16" i="42"/>
  <c r="AJ8" i="42"/>
  <c r="AJ9" i="51"/>
  <c r="AI26" i="46"/>
  <c r="AJ26" i="46" s="1"/>
  <c r="AI28" i="46"/>
  <c r="AJ28" i="46" s="1"/>
  <c r="AJ4" i="42"/>
  <c r="AJ18" i="42"/>
  <c r="Q33" i="49"/>
  <c r="Q33" i="52"/>
  <c r="Q33" i="42"/>
  <c r="Q33" i="48"/>
  <c r="Q33" i="47"/>
  <c r="Q33" i="54"/>
  <c r="Q33" i="51"/>
  <c r="Q33" i="55"/>
  <c r="Q33" i="50"/>
  <c r="J12" i="57"/>
  <c r="AJ16" i="52"/>
  <c r="AJ24" i="56"/>
  <c r="AI28" i="56"/>
  <c r="AK24" i="56" s="1"/>
  <c r="AI28" i="55"/>
  <c r="AJ28" i="55" s="1"/>
  <c r="AJ24" i="55"/>
  <c r="N26" i="57"/>
  <c r="N28" i="57"/>
  <c r="AJ24" i="54"/>
  <c r="M12" i="57"/>
  <c r="AI28" i="54"/>
  <c r="M28" i="57"/>
  <c r="AI26" i="54"/>
  <c r="AJ26" i="54" s="1"/>
  <c r="M26" i="57"/>
  <c r="AJ24" i="53"/>
  <c r="AJ24" i="52"/>
  <c r="AJ19" i="50"/>
  <c r="AJ24" i="50"/>
  <c r="AI28" i="50"/>
  <c r="AI26" i="50"/>
  <c r="AJ26" i="50" s="1"/>
  <c r="I11" i="57"/>
  <c r="AI28" i="49"/>
  <c r="AJ24" i="49"/>
  <c r="D25" i="49"/>
  <c r="AJ24" i="48"/>
  <c r="G19" i="57"/>
  <c r="H25" i="48"/>
  <c r="AI28" i="48"/>
  <c r="F4" i="57"/>
  <c r="AJ4" i="46"/>
  <c r="AJ24" i="47"/>
  <c r="P8" i="57"/>
  <c r="Q8" i="57" s="1"/>
  <c r="F9" i="57"/>
  <c r="F13" i="57"/>
  <c r="F17" i="57"/>
  <c r="D25" i="47"/>
  <c r="AI28" i="47"/>
  <c r="E23" i="57"/>
  <c r="P20" i="57"/>
  <c r="Q20" i="57" s="1"/>
  <c r="E15" i="57"/>
  <c r="P6" i="57"/>
  <c r="Q6" i="57" s="1"/>
  <c r="P22" i="57"/>
  <c r="Q22" i="57" s="1"/>
  <c r="E7" i="57"/>
  <c r="AI26" i="42"/>
  <c r="AK4" i="42" s="1"/>
  <c r="AJ9" i="42"/>
  <c r="AJ6" i="42"/>
  <c r="AJ24" i="42"/>
  <c r="AI28" i="42"/>
  <c r="AK24" i="42" s="1"/>
  <c r="D17" i="57"/>
  <c r="D5" i="57"/>
  <c r="P5" i="57" s="1"/>
  <c r="Q5" i="57" s="1"/>
  <c r="N7" i="39"/>
  <c r="F23" i="39"/>
  <c r="E23" i="39" s="1"/>
  <c r="H24" i="39"/>
  <c r="F24" i="39" s="1"/>
  <c r="F12" i="39"/>
  <c r="E12" i="39" s="1"/>
  <c r="H5" i="39"/>
  <c r="F5" i="39" s="1"/>
  <c r="E5" i="39" s="1"/>
  <c r="H6" i="39"/>
  <c r="F6" i="39" s="1"/>
  <c r="E6" i="39" s="1"/>
  <c r="H25" i="39"/>
  <c r="F25" i="39" s="1"/>
  <c r="E25" i="39" s="1"/>
  <c r="F13" i="39"/>
  <c r="E13" i="39" s="1"/>
  <c r="Q30" i="53" l="1"/>
  <c r="Q30" i="46"/>
  <c r="Q30" i="42"/>
  <c r="Q30" i="48"/>
  <c r="Q30" i="56"/>
  <c r="Q30" i="49"/>
  <c r="Q30" i="50"/>
  <c r="Q30" i="54"/>
  <c r="Q30" i="47"/>
  <c r="Q30" i="55"/>
  <c r="Q30" i="51"/>
  <c r="O26" i="57"/>
  <c r="AJ26" i="56"/>
  <c r="AK21" i="56"/>
  <c r="AK9" i="56"/>
  <c r="AK20" i="56"/>
  <c r="AK8" i="56"/>
  <c r="AK19" i="56"/>
  <c r="AK7" i="56"/>
  <c r="AK18" i="56"/>
  <c r="AK6" i="56"/>
  <c r="AK17" i="56"/>
  <c r="AK5" i="56"/>
  <c r="AK12" i="56"/>
  <c r="AK11" i="56"/>
  <c r="AK16" i="56"/>
  <c r="AK22" i="56"/>
  <c r="AK15" i="56"/>
  <c r="AK23" i="56"/>
  <c r="AK14" i="56"/>
  <c r="AK13" i="56"/>
  <c r="AK10" i="56"/>
  <c r="AK21" i="51"/>
  <c r="AK9" i="51"/>
  <c r="AK5" i="51"/>
  <c r="AK20" i="51"/>
  <c r="AK8" i="51"/>
  <c r="AK12" i="51"/>
  <c r="AK19" i="51"/>
  <c r="AK7" i="51"/>
  <c r="AK6" i="51"/>
  <c r="AK13" i="51"/>
  <c r="AK18" i="51"/>
  <c r="AK11" i="51"/>
  <c r="AK17" i="51"/>
  <c r="AK22" i="51"/>
  <c r="AK16" i="51"/>
  <c r="AK10" i="51"/>
  <c r="AK15" i="51"/>
  <c r="AK14" i="51"/>
  <c r="AK23" i="51"/>
  <c r="AJ28" i="51"/>
  <c r="AK24" i="51"/>
  <c r="AK4" i="51"/>
  <c r="D29" i="44"/>
  <c r="E2" i="44" s="1"/>
  <c r="AK6" i="42"/>
  <c r="AK15" i="42"/>
  <c r="AK23" i="42"/>
  <c r="AK5" i="42"/>
  <c r="AK7" i="42"/>
  <c r="AK16" i="42"/>
  <c r="AK18" i="42"/>
  <c r="AK19" i="42"/>
  <c r="AK14" i="42"/>
  <c r="AK8" i="42"/>
  <c r="AK17" i="42"/>
  <c r="AK9" i="42"/>
  <c r="AK10" i="42"/>
  <c r="AK22" i="42"/>
  <c r="AK12" i="42"/>
  <c r="AK20" i="42"/>
  <c r="AK11" i="42"/>
  <c r="AK13" i="42"/>
  <c r="AK21" i="42"/>
  <c r="G3" i="65"/>
  <c r="E2" i="64"/>
  <c r="L26" i="57"/>
  <c r="P23" i="57"/>
  <c r="Q23" i="57" s="1"/>
  <c r="P18" i="57"/>
  <c r="Q18" i="57" s="1"/>
  <c r="P19" i="57"/>
  <c r="Q19" i="57" s="1"/>
  <c r="AJ26" i="52"/>
  <c r="P13" i="57"/>
  <c r="Q13" i="57" s="1"/>
  <c r="P4" i="57"/>
  <c r="Q4" i="57" s="1"/>
  <c r="J26" i="57"/>
  <c r="AJ26" i="51"/>
  <c r="L28" i="57"/>
  <c r="P16" i="57"/>
  <c r="Q16" i="57" s="1"/>
  <c r="AJ28" i="53"/>
  <c r="AJ28" i="56"/>
  <c r="P15" i="57"/>
  <c r="Q15" i="57" s="1"/>
  <c r="K28" i="57"/>
  <c r="K26" i="57"/>
  <c r="P14" i="57"/>
  <c r="Q14" i="57" s="1"/>
  <c r="P11" i="57"/>
  <c r="Q11" i="57" s="1"/>
  <c r="P17" i="57"/>
  <c r="Q17" i="57" s="1"/>
  <c r="D26" i="57"/>
  <c r="AJ26" i="42"/>
  <c r="P12" i="57"/>
  <c r="Q12" i="57" s="1"/>
  <c r="J28" i="57"/>
  <c r="AJ28" i="54"/>
  <c r="AJ28" i="50"/>
  <c r="I28" i="57"/>
  <c r="I26" i="57"/>
  <c r="AJ28" i="49"/>
  <c r="AJ28" i="48"/>
  <c r="G28" i="57"/>
  <c r="G26" i="57"/>
  <c r="F26" i="57"/>
  <c r="AJ28" i="47"/>
  <c r="P9" i="57"/>
  <c r="Q9" i="57" s="1"/>
  <c r="F28" i="57"/>
  <c r="E26" i="57"/>
  <c r="E28" i="57"/>
  <c r="P7" i="57"/>
  <c r="Q7" i="57" s="1"/>
  <c r="AJ28" i="42"/>
  <c r="D28" i="57"/>
  <c r="D3" i="48"/>
  <c r="E3" i="48" s="1"/>
  <c r="F3" i="48" s="1"/>
  <c r="G3" i="48" s="1"/>
  <c r="H3" i="48" s="1"/>
  <c r="I3" i="48" s="1"/>
  <c r="J3" i="48" s="1"/>
  <c r="K3" i="48" s="1"/>
  <c r="L3" i="48" s="1"/>
  <c r="M3" i="48" s="1"/>
  <c r="N3" i="48" s="1"/>
  <c r="O3" i="48" s="1"/>
  <c r="P3" i="48" s="1"/>
  <c r="Q3" i="48" s="1"/>
  <c r="R3" i="48" s="1"/>
  <c r="S3" i="48" s="1"/>
  <c r="T3" i="48" s="1"/>
  <c r="U3" i="48" s="1"/>
  <c r="V3" i="48" s="1"/>
  <c r="W3" i="48" s="1"/>
  <c r="X3" i="48" s="1"/>
  <c r="Y3" i="48" s="1"/>
  <c r="Z3" i="48" s="1"/>
  <c r="AA3" i="48" s="1"/>
  <c r="AB3" i="48" s="1"/>
  <c r="AC3" i="48" s="1"/>
  <c r="AD3" i="48" s="1"/>
  <c r="AE3" i="48" s="1"/>
  <c r="AF3" i="48" s="1"/>
  <c r="AG3" i="48" s="1"/>
  <c r="AH3" i="48" s="1"/>
  <c r="N8" i="39"/>
  <c r="H33" i="39" s="1"/>
  <c r="F33" i="39" s="1"/>
  <c r="E33" i="39" s="1"/>
  <c r="E24" i="39"/>
  <c r="P28" i="57" l="1"/>
  <c r="K30" i="57" s="1"/>
  <c r="P26" i="57"/>
  <c r="R4" i="57" s="1"/>
  <c r="H3" i="65"/>
  <c r="D3" i="49"/>
  <c r="E3" i="49" s="1"/>
  <c r="F3" i="49" s="1"/>
  <c r="G3" i="49" s="1"/>
  <c r="H3" i="49" s="1"/>
  <c r="I3" i="49" s="1"/>
  <c r="J3" i="49" s="1"/>
  <c r="K3" i="49" s="1"/>
  <c r="L3" i="49" s="1"/>
  <c r="M3" i="49" s="1"/>
  <c r="N3" i="49" s="1"/>
  <c r="O3" i="49" s="1"/>
  <c r="P3" i="49" s="1"/>
  <c r="Q3" i="49" s="1"/>
  <c r="R3" i="49" s="1"/>
  <c r="S3" i="49" s="1"/>
  <c r="T3" i="49" s="1"/>
  <c r="U3" i="49" s="1"/>
  <c r="V3" i="49" s="1"/>
  <c r="W3" i="49" s="1"/>
  <c r="X3" i="49" s="1"/>
  <c r="Y3" i="49" s="1"/>
  <c r="Z3" i="49" s="1"/>
  <c r="AA3" i="49" s="1"/>
  <c r="AB3" i="49" s="1"/>
  <c r="AC3" i="49" s="1"/>
  <c r="AD3" i="49" s="1"/>
  <c r="AE3" i="49" s="1"/>
  <c r="AF3" i="49" s="1"/>
  <c r="AG3" i="49" s="1"/>
  <c r="AH3" i="49" s="1"/>
  <c r="H32" i="39"/>
  <c r="F32" i="39" s="1"/>
  <c r="E32" i="39" s="1"/>
  <c r="H7" i="39"/>
  <c r="F7" i="39" s="1"/>
  <c r="E7" i="39" s="1"/>
  <c r="H14" i="39"/>
  <c r="F14" i="39" s="1"/>
  <c r="E14" i="39" s="1"/>
  <c r="N9" i="39"/>
  <c r="Q26" i="57" l="1"/>
  <c r="R19" i="57"/>
  <c r="R11" i="57"/>
  <c r="R8" i="57"/>
  <c r="R5" i="57"/>
  <c r="R18" i="57"/>
  <c r="R10" i="57"/>
  <c r="R16" i="57"/>
  <c r="R20" i="57"/>
  <c r="R17" i="57"/>
  <c r="R9" i="57"/>
  <c r="R23" i="57"/>
  <c r="R15" i="57"/>
  <c r="R7" i="57"/>
  <c r="R6" i="57"/>
  <c r="R21" i="57"/>
  <c r="R12" i="57"/>
  <c r="R22" i="57"/>
  <c r="R14" i="57"/>
  <c r="R13" i="57"/>
  <c r="Q28" i="57"/>
  <c r="R24" i="57"/>
  <c r="I3" i="65"/>
  <c r="E30" i="57"/>
  <c r="H30" i="57"/>
  <c r="G30" i="57"/>
  <c r="J30" i="57"/>
  <c r="D30" i="57"/>
  <c r="L30" i="57"/>
  <c r="I30" i="57"/>
  <c r="M30" i="57"/>
  <c r="F30" i="57"/>
  <c r="O30" i="57"/>
  <c r="N30" i="57"/>
  <c r="H15" i="39"/>
  <c r="F15" i="39" s="1"/>
  <c r="E15" i="39" s="1"/>
  <c r="N10" i="39"/>
  <c r="D3" i="50"/>
  <c r="E3" i="50" s="1"/>
  <c r="F3" i="50" s="1"/>
  <c r="H8" i="39"/>
  <c r="F8" i="39" s="1"/>
  <c r="E8" i="39" s="1"/>
  <c r="H34" i="39"/>
  <c r="F34" i="39" s="1"/>
  <c r="E34" i="39" s="1"/>
  <c r="J3" i="65" l="1"/>
  <c r="N11" i="39"/>
  <c r="D3" i="51"/>
  <c r="E3" i="51" s="1"/>
  <c r="F3" i="51" s="1"/>
  <c r="G3" i="50"/>
  <c r="K3" i="65" l="1"/>
  <c r="D3" i="52"/>
  <c r="E3" i="52" s="1"/>
  <c r="F3" i="52" s="1"/>
  <c r="N12" i="39"/>
  <c r="H3" i="50"/>
  <c r="G3" i="51"/>
  <c r="L3" i="65" l="1"/>
  <c r="N13" i="39"/>
  <c r="D3" i="53"/>
  <c r="E3" i="53" s="1"/>
  <c r="F3" i="53" s="1"/>
  <c r="G3" i="52"/>
  <c r="H3" i="51"/>
  <c r="I3" i="50"/>
  <c r="M3" i="65" l="1"/>
  <c r="N14" i="39"/>
  <c r="D3" i="54"/>
  <c r="E3" i="54" s="1"/>
  <c r="F3" i="54" s="1"/>
  <c r="J3" i="50"/>
  <c r="I3" i="51"/>
  <c r="H3" i="52"/>
  <c r="G3" i="53"/>
  <c r="N3" i="65" l="1"/>
  <c r="H26" i="39"/>
  <c r="F26" i="39" s="1"/>
  <c r="N15" i="39"/>
  <c r="H27" i="39" s="1"/>
  <c r="F27" i="39" s="1"/>
  <c r="E27" i="39" s="1"/>
  <c r="D3" i="55"/>
  <c r="H3" i="53"/>
  <c r="I3" i="52"/>
  <c r="G3" i="54"/>
  <c r="J3" i="51"/>
  <c r="K3" i="50"/>
  <c r="O3" i="65" l="1"/>
  <c r="E3" i="55"/>
  <c r="H17" i="39"/>
  <c r="F17" i="39" s="1"/>
  <c r="E17" i="39" s="1"/>
  <c r="H36" i="39"/>
  <c r="F36" i="39" s="1"/>
  <c r="E36" i="39" s="1"/>
  <c r="H16" i="39"/>
  <c r="F16" i="39" s="1"/>
  <c r="H18" i="39"/>
  <c r="F18" i="39" s="1"/>
  <c r="E18" i="39" s="1"/>
  <c r="D3" i="56"/>
  <c r="H19" i="39"/>
  <c r="F19" i="39" s="1"/>
  <c r="E19" i="39" s="1"/>
  <c r="H35" i="39"/>
  <c r="F35" i="39" s="1"/>
  <c r="E26" i="39"/>
  <c r="H3" i="54"/>
  <c r="K3" i="51"/>
  <c r="J3" i="52"/>
  <c r="L3" i="50"/>
  <c r="I3" i="53"/>
  <c r="AA2" i="46"/>
  <c r="E2" i="55"/>
  <c r="D2" i="56"/>
  <c r="F2" i="52"/>
  <c r="P2" i="46"/>
  <c r="H2" i="53"/>
  <c r="R2" i="47"/>
  <c r="G2" i="42"/>
  <c r="T2" i="47"/>
  <c r="AD2" i="46"/>
  <c r="F2" i="46"/>
  <c r="I2" i="50"/>
  <c r="F2" i="42"/>
  <c r="E2" i="42"/>
  <c r="AA2" i="47"/>
  <c r="E2" i="48"/>
  <c r="Y2" i="49"/>
  <c r="D2" i="47"/>
  <c r="W2" i="46"/>
  <c r="D2" i="49"/>
  <c r="G2" i="50"/>
  <c r="F2" i="51"/>
  <c r="H2" i="46"/>
  <c r="K2" i="47"/>
  <c r="F2" i="53"/>
  <c r="V2" i="47"/>
  <c r="N2" i="42"/>
  <c r="P2" i="49"/>
  <c r="G2" i="51"/>
  <c r="D2" i="54"/>
  <c r="AC2" i="48"/>
  <c r="G2" i="49"/>
  <c r="AD2" i="47"/>
  <c r="J2" i="49"/>
  <c r="AF2" i="49"/>
  <c r="E2" i="53"/>
  <c r="S2" i="46"/>
  <c r="J2" i="47"/>
  <c r="AB2" i="46"/>
  <c r="P2" i="47"/>
  <c r="O2" i="46"/>
  <c r="X2" i="48"/>
  <c r="G2" i="47"/>
  <c r="X2" i="42"/>
  <c r="K2" i="50"/>
  <c r="L2" i="50"/>
  <c r="G2" i="52"/>
  <c r="W2" i="49"/>
  <c r="I2" i="47"/>
  <c r="W2" i="47"/>
  <c r="AC2" i="46"/>
  <c r="AA2" i="49"/>
  <c r="X2" i="49"/>
  <c r="AB2" i="42"/>
  <c r="E2" i="51"/>
  <c r="W2" i="48"/>
  <c r="Q2" i="42"/>
  <c r="AD2" i="49"/>
  <c r="AF2" i="42"/>
  <c r="E2" i="65"/>
  <c r="L2" i="49"/>
  <c r="Q2" i="47"/>
  <c r="AA2" i="48"/>
  <c r="W2" i="42"/>
  <c r="H2" i="50"/>
  <c r="V2" i="42"/>
  <c r="L2" i="48"/>
  <c r="AG2" i="47"/>
  <c r="F2" i="49"/>
  <c r="I2" i="53"/>
  <c r="E2" i="49"/>
  <c r="F2" i="50"/>
  <c r="Z2" i="42"/>
  <c r="Y2" i="48"/>
  <c r="E2" i="54"/>
  <c r="Z2" i="46"/>
  <c r="J2" i="65"/>
  <c r="F2" i="65"/>
  <c r="Y2" i="46"/>
  <c r="O2" i="48"/>
  <c r="L2" i="42"/>
  <c r="P2" i="42"/>
  <c r="Q2" i="48"/>
  <c r="M2" i="48"/>
  <c r="AE2" i="49"/>
  <c r="O2" i="49"/>
  <c r="F2" i="47"/>
  <c r="D2" i="52"/>
  <c r="AD2" i="48"/>
  <c r="J2" i="50"/>
  <c r="U2" i="49"/>
  <c r="G2" i="54"/>
  <c r="J2" i="51"/>
  <c r="K2" i="51"/>
  <c r="K2" i="42"/>
  <c r="T2" i="42"/>
  <c r="Q2" i="46"/>
  <c r="AC2" i="42"/>
  <c r="E2" i="46"/>
  <c r="P2" i="48"/>
  <c r="AE2" i="42"/>
  <c r="H2" i="65"/>
  <c r="G2" i="53"/>
  <c r="Y2" i="47"/>
  <c r="I2" i="65"/>
  <c r="Z2" i="47"/>
  <c r="G2" i="48"/>
  <c r="S2" i="48"/>
  <c r="U2" i="47"/>
  <c r="E2" i="47"/>
  <c r="O2" i="47"/>
  <c r="U2" i="42"/>
  <c r="R2" i="49"/>
  <c r="AG2" i="46"/>
  <c r="K2" i="49"/>
  <c r="N2" i="46"/>
  <c r="Z2" i="48"/>
  <c r="H2" i="42"/>
  <c r="I2" i="49"/>
  <c r="L2" i="47"/>
  <c r="AH2" i="46"/>
  <c r="AD2" i="42"/>
  <c r="U2" i="48"/>
  <c r="R2" i="46"/>
  <c r="AF2" i="46"/>
  <c r="AH2" i="49"/>
  <c r="H2" i="48"/>
  <c r="M2" i="49"/>
  <c r="G2" i="65"/>
  <c r="N2" i="48"/>
  <c r="AC2" i="47"/>
  <c r="AC2" i="49"/>
  <c r="L2" i="65"/>
  <c r="H2" i="54"/>
  <c r="H2" i="47"/>
  <c r="J2" i="46"/>
  <c r="AE2" i="48"/>
  <c r="X2" i="47"/>
  <c r="AG2" i="42"/>
  <c r="D2" i="51"/>
  <c r="AH2" i="48"/>
  <c r="Y2" i="42"/>
  <c r="J2" i="48"/>
  <c r="S2" i="47"/>
  <c r="I2" i="52"/>
  <c r="I2" i="46"/>
  <c r="R2" i="42"/>
  <c r="D2" i="50"/>
  <c r="D2" i="53"/>
  <c r="L2" i="46"/>
  <c r="X2" i="46"/>
  <c r="AB2" i="47"/>
  <c r="D2" i="55"/>
  <c r="U2" i="46"/>
  <c r="Q2" i="49"/>
  <c r="AE2" i="46"/>
  <c r="V2" i="48"/>
  <c r="AE2" i="47"/>
  <c r="M2" i="46"/>
  <c r="I2" i="42"/>
  <c r="F2" i="54"/>
  <c r="T2" i="48"/>
  <c r="T2" i="46"/>
  <c r="H2" i="51"/>
  <c r="D2" i="48"/>
  <c r="AB2" i="49"/>
  <c r="AH2" i="42"/>
  <c r="T2" i="49"/>
  <c r="AH2" i="47"/>
  <c r="K2" i="46"/>
  <c r="M2" i="42"/>
  <c r="D2" i="46"/>
  <c r="S2" i="49"/>
  <c r="K2" i="65"/>
  <c r="M2" i="65"/>
  <c r="G2" i="46"/>
  <c r="AG2" i="48"/>
  <c r="K2" i="48"/>
  <c r="D2" i="65"/>
  <c r="N2" i="49"/>
  <c r="I2" i="51"/>
  <c r="V2" i="46"/>
  <c r="H2" i="52"/>
  <c r="AF2" i="48"/>
  <c r="M2" i="47"/>
  <c r="S2" i="42"/>
  <c r="N2" i="65"/>
  <c r="O2" i="42"/>
  <c r="E2" i="50"/>
  <c r="I2" i="48"/>
  <c r="N2" i="47"/>
  <c r="AG2" i="49"/>
  <c r="F2" i="48"/>
  <c r="AB2" i="48"/>
  <c r="J2" i="42"/>
  <c r="AF2" i="47"/>
  <c r="R2" i="48"/>
  <c r="H2" i="49"/>
  <c r="E2" i="52"/>
  <c r="Z2" i="49"/>
  <c r="J2" i="52"/>
  <c r="AA2" i="42"/>
  <c r="D2" i="42"/>
  <c r="V2" i="49"/>
  <c r="E35" i="39" l="1"/>
  <c r="P3" i="65"/>
  <c r="E3" i="56"/>
  <c r="E16" i="39"/>
  <c r="F3" i="55"/>
  <c r="I3" i="54"/>
  <c r="J3" i="53"/>
  <c r="M3" i="50"/>
  <c r="K3" i="52"/>
  <c r="L3" i="51"/>
  <c r="J2" i="53"/>
  <c r="M2" i="50"/>
  <c r="K2" i="52"/>
  <c r="E2" i="56"/>
  <c r="O2" i="65"/>
  <c r="L2" i="51"/>
  <c r="I2" i="54"/>
  <c r="F2" i="55"/>
  <c r="Q3" i="65" l="1"/>
  <c r="G3" i="55"/>
  <c r="F3" i="56"/>
  <c r="K3" i="53"/>
  <c r="M3" i="51"/>
  <c r="L3" i="52"/>
  <c r="N3" i="50"/>
  <c r="J3" i="54"/>
  <c r="N2" i="50"/>
  <c r="L2" i="52"/>
  <c r="G2" i="55"/>
  <c r="K2" i="53"/>
  <c r="J2" i="54"/>
  <c r="F2" i="56"/>
  <c r="P2" i="65"/>
  <c r="M2" i="51"/>
  <c r="R3" i="65" l="1"/>
  <c r="G3" i="56"/>
  <c r="H3" i="55"/>
  <c r="K3" i="54"/>
  <c r="O3" i="50"/>
  <c r="N3" i="51"/>
  <c r="M3" i="52"/>
  <c r="L3" i="53"/>
  <c r="N2" i="51"/>
  <c r="H2" i="55"/>
  <c r="M2" i="52"/>
  <c r="Q2" i="65"/>
  <c r="G2" i="56"/>
  <c r="L2" i="53"/>
  <c r="O2" i="50"/>
  <c r="K2" i="54"/>
  <c r="S3" i="65" l="1"/>
  <c r="I3" i="55"/>
  <c r="H3" i="56"/>
  <c r="O3" i="51"/>
  <c r="M3" i="53"/>
  <c r="N3" i="52"/>
  <c r="P3" i="50"/>
  <c r="L3" i="54"/>
  <c r="I2" i="55"/>
  <c r="P2" i="50"/>
  <c r="N2" i="52"/>
  <c r="L2" i="54"/>
  <c r="H2" i="56"/>
  <c r="O2" i="51"/>
  <c r="R2" i="65"/>
  <c r="M2" i="53"/>
  <c r="T3" i="65" l="1"/>
  <c r="J3" i="55"/>
  <c r="I3" i="56"/>
  <c r="Q3" i="50"/>
  <c r="M3" i="54"/>
  <c r="O3" i="52"/>
  <c r="N3" i="53"/>
  <c r="P3" i="51"/>
  <c r="Q2" i="50"/>
  <c r="N2" i="53"/>
  <c r="O2" i="52"/>
  <c r="M2" i="54"/>
  <c r="J2" i="55"/>
  <c r="P2" i="51"/>
  <c r="I2" i="56"/>
  <c r="S2" i="65"/>
  <c r="U3" i="65" l="1"/>
  <c r="J3" i="56"/>
  <c r="K3" i="55"/>
  <c r="O3" i="53"/>
  <c r="P3" i="52"/>
  <c r="Q3" i="51"/>
  <c r="N3" i="54"/>
  <c r="R3" i="50"/>
  <c r="Q2" i="51"/>
  <c r="R2" i="50"/>
  <c r="K2" i="55"/>
  <c r="T2" i="65"/>
  <c r="P2" i="52"/>
  <c r="N2" i="54"/>
  <c r="O2" i="53"/>
  <c r="J2" i="56"/>
  <c r="V3" i="65" l="1"/>
  <c r="L3" i="55"/>
  <c r="K3" i="56"/>
  <c r="Q3" i="52"/>
  <c r="S3" i="50"/>
  <c r="R3" i="51"/>
  <c r="O3" i="54"/>
  <c r="P3" i="53"/>
  <c r="S2" i="50"/>
  <c r="Q2" i="52"/>
  <c r="U2" i="65"/>
  <c r="P2" i="53"/>
  <c r="O2" i="54"/>
  <c r="L2" i="55"/>
  <c r="K2" i="56"/>
  <c r="R2" i="51"/>
  <c r="W3" i="65" l="1"/>
  <c r="L3" i="56"/>
  <c r="M3" i="55"/>
  <c r="Q3" i="53"/>
  <c r="P3" i="54"/>
  <c r="S3" i="51"/>
  <c r="T3" i="50"/>
  <c r="R3" i="52"/>
  <c r="M2" i="55"/>
  <c r="L2" i="56"/>
  <c r="S2" i="51"/>
  <c r="V2" i="65"/>
  <c r="R2" i="52"/>
  <c r="T2" i="50"/>
  <c r="Q2" i="53"/>
  <c r="P2" i="54"/>
  <c r="X3" i="65" l="1"/>
  <c r="M3" i="56"/>
  <c r="N3" i="55"/>
  <c r="T3" i="51"/>
  <c r="U3" i="50"/>
  <c r="Q3" i="54"/>
  <c r="S3" i="52"/>
  <c r="R3" i="53"/>
  <c r="Q2" i="54"/>
  <c r="S2" i="52"/>
  <c r="R2" i="53"/>
  <c r="U2" i="50"/>
  <c r="M2" i="56"/>
  <c r="T2" i="51"/>
  <c r="W2" i="65"/>
  <c r="N2" i="55"/>
  <c r="Y3" i="65" l="1"/>
  <c r="N3" i="56"/>
  <c r="O3" i="55"/>
  <c r="T3" i="52"/>
  <c r="V3" i="50"/>
  <c r="U3" i="51"/>
  <c r="S3" i="53"/>
  <c r="R3" i="54"/>
  <c r="R2" i="54"/>
  <c r="T2" i="52"/>
  <c r="N2" i="56"/>
  <c r="X2" i="65"/>
  <c r="O2" i="55"/>
  <c r="V2" i="50"/>
  <c r="S2" i="53"/>
  <c r="U2" i="51"/>
  <c r="Z3" i="65" l="1"/>
  <c r="P3" i="55"/>
  <c r="O3" i="56"/>
  <c r="T3" i="53"/>
  <c r="V3" i="51"/>
  <c r="S3" i="54"/>
  <c r="W3" i="50"/>
  <c r="U3" i="52"/>
  <c r="O2" i="56"/>
  <c r="Y2" i="65"/>
  <c r="W2" i="50"/>
  <c r="V2" i="51"/>
  <c r="P2" i="55"/>
  <c r="S2" i="54"/>
  <c r="U2" i="52"/>
  <c r="T2" i="53"/>
  <c r="AA3" i="65" l="1"/>
  <c r="P3" i="56"/>
  <c r="Q3" i="55"/>
  <c r="X3" i="50"/>
  <c r="T3" i="54"/>
  <c r="W3" i="51"/>
  <c r="V3" i="52"/>
  <c r="U3" i="53"/>
  <c r="W2" i="51"/>
  <c r="P2" i="56"/>
  <c r="T2" i="54"/>
  <c r="V2" i="52"/>
  <c r="U2" i="53"/>
  <c r="X2" i="50"/>
  <c r="Z2" i="65"/>
  <c r="Q2" i="55"/>
  <c r="AB3" i="65" l="1"/>
  <c r="R3" i="55"/>
  <c r="Q3" i="56"/>
  <c r="V3" i="53"/>
  <c r="X3" i="51"/>
  <c r="U3" i="54"/>
  <c r="W3" i="52"/>
  <c r="Y3" i="50"/>
  <c r="W2" i="52"/>
  <c r="X2" i="51"/>
  <c r="V2" i="53"/>
  <c r="Y2" i="50"/>
  <c r="U2" i="54"/>
  <c r="R2" i="55"/>
  <c r="Q2" i="56"/>
  <c r="AA2" i="65"/>
  <c r="AC3" i="65" l="1"/>
  <c r="R3" i="56"/>
  <c r="S3" i="55"/>
  <c r="Z3" i="50"/>
  <c r="X3" i="52"/>
  <c r="V3" i="54"/>
  <c r="W3" i="53"/>
  <c r="Y3" i="51"/>
  <c r="Y2" i="51"/>
  <c r="S2" i="55"/>
  <c r="AB2" i="65"/>
  <c r="R2" i="56"/>
  <c r="W2" i="53"/>
  <c r="Z2" i="50"/>
  <c r="V2" i="54"/>
  <c r="X2" i="52"/>
  <c r="AD3" i="65" l="1"/>
  <c r="T3" i="55"/>
  <c r="S3" i="56"/>
  <c r="W3" i="54"/>
  <c r="Z3" i="51"/>
  <c r="X3" i="53"/>
  <c r="Y3" i="52"/>
  <c r="AA3" i="50"/>
  <c r="T2" i="55"/>
  <c r="Z2" i="51"/>
  <c r="S2" i="56"/>
  <c r="AC2" i="65"/>
  <c r="AA2" i="50"/>
  <c r="Y2" i="52"/>
  <c r="X2" i="53"/>
  <c r="W2" i="54"/>
  <c r="AE3" i="65" l="1"/>
  <c r="T3" i="56"/>
  <c r="U3" i="55"/>
  <c r="AA3" i="51"/>
  <c r="Z3" i="52"/>
  <c r="AB3" i="50"/>
  <c r="Y3" i="53"/>
  <c r="X3" i="54"/>
  <c r="Z2" i="52"/>
  <c r="T2" i="56"/>
  <c r="AA2" i="51"/>
  <c r="Y2" i="53"/>
  <c r="X2" i="54"/>
  <c r="AB2" i="50"/>
  <c r="AD2" i="65"/>
  <c r="U2" i="55"/>
  <c r="AF3" i="65" l="1"/>
  <c r="V3" i="55"/>
  <c r="U3" i="56"/>
  <c r="Y3" i="54"/>
  <c r="Z3" i="53"/>
  <c r="AC3" i="50"/>
  <c r="AA3" i="52"/>
  <c r="AB3" i="51"/>
  <c r="AB2" i="51"/>
  <c r="Z2" i="53"/>
  <c r="AC2" i="50"/>
  <c r="Y2" i="54"/>
  <c r="AE2" i="65"/>
  <c r="V2" i="55"/>
  <c r="AA2" i="52"/>
  <c r="U2" i="56"/>
  <c r="AG3" i="65" l="1"/>
  <c r="V3" i="56"/>
  <c r="W3" i="55"/>
  <c r="AB3" i="52"/>
  <c r="AD3" i="50"/>
  <c r="AA3" i="53"/>
  <c r="AC3" i="51"/>
  <c r="Z3" i="54"/>
  <c r="V2" i="56"/>
  <c r="AC2" i="51"/>
  <c r="AB2" i="52"/>
  <c r="Z2" i="54"/>
  <c r="AF2" i="65"/>
  <c r="AD2" i="50"/>
  <c r="AA2" i="53"/>
  <c r="W2" i="55"/>
  <c r="AH3" i="65" l="1"/>
  <c r="X3" i="55"/>
  <c r="W3" i="56"/>
  <c r="AD3" i="51"/>
  <c r="AE3" i="50"/>
  <c r="AA3" i="54"/>
  <c r="AC3" i="52"/>
  <c r="AB3" i="53"/>
  <c r="AD2" i="51"/>
  <c r="AA2" i="54"/>
  <c r="AG2" i="65"/>
  <c r="AE2" i="50"/>
  <c r="AH2" i="65"/>
  <c r="X2" i="55"/>
  <c r="W2" i="56"/>
  <c r="AC2" i="52"/>
  <c r="AB2" i="53"/>
  <c r="Y3" i="55" l="1"/>
  <c r="X3" i="56"/>
  <c r="AC3" i="53"/>
  <c r="AD3" i="52"/>
  <c r="AB3" i="54"/>
  <c r="AF3" i="50"/>
  <c r="AE3" i="51"/>
  <c r="X2" i="56"/>
  <c r="AC2" i="53"/>
  <c r="AD2" i="52"/>
  <c r="AE2" i="51"/>
  <c r="AF2" i="50"/>
  <c r="Y2" i="55"/>
  <c r="AB2" i="54"/>
  <c r="Z3" i="55" l="1"/>
  <c r="Y3" i="56"/>
  <c r="AC3" i="54"/>
  <c r="AF3" i="51"/>
  <c r="AG3" i="50"/>
  <c r="AE3" i="52"/>
  <c r="AD3" i="53"/>
  <c r="AC2" i="54"/>
  <c r="Z2" i="55"/>
  <c r="AE2" i="52"/>
  <c r="AD2" i="53"/>
  <c r="Y2" i="56"/>
  <c r="AF2" i="51"/>
  <c r="AG2" i="50"/>
  <c r="Z3" i="56" l="1"/>
  <c r="AA3" i="55"/>
  <c r="AH3" i="50"/>
  <c r="AE3" i="53"/>
  <c r="AF3" i="52"/>
  <c r="AG3" i="51"/>
  <c r="AD3" i="54"/>
  <c r="Z2" i="56"/>
  <c r="AH2" i="50"/>
  <c r="AE2" i="53"/>
  <c r="AA2" i="55"/>
  <c r="AF2" i="52"/>
  <c r="AG2" i="51"/>
  <c r="AD2" i="54"/>
  <c r="AA3" i="56" l="1"/>
  <c r="AB3" i="55"/>
  <c r="AE3" i="54"/>
  <c r="AG3" i="52"/>
  <c r="AF3" i="53"/>
  <c r="AH3" i="51"/>
  <c r="AB2" i="55"/>
  <c r="AA2" i="56"/>
  <c r="AH2" i="51"/>
  <c r="AF2" i="53"/>
  <c r="AE2" i="54"/>
  <c r="AG2" i="52"/>
  <c r="AB3" i="56" l="1"/>
  <c r="AC3" i="55"/>
  <c r="AH3" i="52"/>
  <c r="AG3" i="53"/>
  <c r="AF3" i="54"/>
  <c r="AH2" i="52"/>
  <c r="AC2" i="55"/>
  <c r="AB2" i="56"/>
  <c r="AF2" i="54"/>
  <c r="AG2" i="53"/>
  <c r="AD3" i="55" l="1"/>
  <c r="AC3" i="56"/>
  <c r="AH3" i="53"/>
  <c r="AG3" i="54"/>
  <c r="AH2" i="53"/>
  <c r="AC2" i="56"/>
  <c r="AD2" i="55"/>
  <c r="AG2" i="54"/>
  <c r="AE3" i="55" l="1"/>
  <c r="AD3" i="56"/>
  <c r="AH3" i="54"/>
  <c r="AH2" i="54"/>
  <c r="AE2" i="55"/>
  <c r="AD2" i="56"/>
  <c r="AF3" i="55" l="1"/>
  <c r="AE3" i="56"/>
  <c r="AF2" i="55"/>
  <c r="AE2" i="56"/>
  <c r="AF3" i="56" l="1"/>
  <c r="AG3" i="55"/>
  <c r="AF2" i="56"/>
  <c r="AG2" i="55"/>
  <c r="AH3" i="55" l="1"/>
  <c r="AG3" i="56"/>
  <c r="AG2" i="56"/>
  <c r="AH2" i="55"/>
  <c r="AH3" i="56" l="1"/>
  <c r="AH2" i="5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Weiss</author>
  </authors>
  <commentList>
    <comment ref="H4" authorId="0" shapeId="0" xr:uid="{0428C83F-53F5-4625-B057-9EC9A745A510}">
      <text>
        <r>
          <rPr>
            <b/>
            <sz val="9"/>
            <color indexed="81"/>
            <rFont val="Tahoma"/>
            <family val="2"/>
          </rPr>
          <t>Where the employment is.</t>
        </r>
      </text>
    </comment>
    <comment ref="H5" authorId="0" shapeId="0" xr:uid="{3481B7A8-9A57-475B-89ED-33DC27087E5A}">
      <text>
        <r>
          <rPr>
            <b/>
            <sz val="9"/>
            <color indexed="81"/>
            <rFont val="Tahoma"/>
            <family val="2"/>
          </rPr>
          <t>Where the employment 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Weiss</author>
  </authors>
  <commentList>
    <comment ref="G4" authorId="0" shapeId="0" xr:uid="{097015AF-BC06-4A5D-942D-0B537E3695AA}">
      <text>
        <r>
          <rPr>
            <b/>
            <sz val="9"/>
            <color indexed="81"/>
            <rFont val="Tahoma"/>
            <family val="2"/>
          </rPr>
          <t>Where the employment is.</t>
        </r>
      </text>
    </comment>
    <comment ref="G5" authorId="0" shapeId="0" xr:uid="{179AA5DC-66FC-497F-9B86-2ACC08F6F855}">
      <text>
        <r>
          <rPr>
            <b/>
            <sz val="9"/>
            <color indexed="81"/>
            <rFont val="Tahoma"/>
            <family val="2"/>
          </rPr>
          <t>Where the employment is.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3" authorId="0" shapeId="0" xr:uid="{00000000-0006-0000-0200-000001000000}">
      <text>
        <r>
          <rPr>
            <sz val="9"/>
            <color indexed="81"/>
            <rFont val="Tahoma"/>
            <family val="2"/>
          </rPr>
          <t>When adding rows. Please</t>
        </r>
        <r>
          <rPr>
            <b/>
            <sz val="9"/>
            <color indexed="81"/>
            <rFont val="Tahoma"/>
            <family val="2"/>
          </rPr>
          <t xml:space="preserve"> </t>
        </r>
        <r>
          <rPr>
            <sz val="9"/>
            <color indexed="81"/>
            <rFont val="Tahoma"/>
            <family val="2"/>
          </rPr>
          <t xml:space="preserve">right click on table and click </t>
        </r>
        <r>
          <rPr>
            <b/>
            <sz val="9"/>
            <color indexed="81"/>
            <rFont val="Tahoma"/>
            <family val="2"/>
          </rPr>
          <t xml:space="preserve">Insert </t>
        </r>
        <r>
          <rPr>
            <sz val="9"/>
            <color indexed="81"/>
            <rFont val="Tahoma"/>
            <family val="2"/>
          </rPr>
          <t>&gt;</t>
        </r>
        <r>
          <rPr>
            <b/>
            <sz val="9"/>
            <color indexed="81"/>
            <rFont val="Tahoma"/>
            <family val="2"/>
          </rPr>
          <t xml:space="preserve"> Table row below.</t>
        </r>
      </text>
    </comment>
    <comment ref="D4" authorId="0" shapeId="0" xr:uid="{00000000-0006-0000-0200-000002000000}">
      <text>
        <r>
          <rPr>
            <sz val="9"/>
            <color indexed="81"/>
            <rFont val="Tahoma"/>
            <family val="2"/>
          </rPr>
          <t>When changing or adding dates, please write the month and the day of the month as text, e.g. 'apr 3.</t>
        </r>
      </text>
    </comment>
    <comment ref="B10" authorId="0" shapeId="0" xr:uid="{00000000-0006-0000-0200-000003000000}">
      <text>
        <r>
          <rPr>
            <sz val="9"/>
            <color indexed="81"/>
            <rFont val="Tahoma"/>
            <family val="2"/>
          </rPr>
          <t>When adding rows. Please right click on table and click</t>
        </r>
        <r>
          <rPr>
            <b/>
            <sz val="9"/>
            <color indexed="81"/>
            <rFont val="Tahoma"/>
            <family val="2"/>
          </rPr>
          <t xml:space="preserve"> Insert</t>
        </r>
        <r>
          <rPr>
            <sz val="9"/>
            <color indexed="81"/>
            <rFont val="Tahoma"/>
            <family val="2"/>
          </rPr>
          <t xml:space="preserve"> &gt; </t>
        </r>
        <r>
          <rPr>
            <b/>
            <sz val="9"/>
            <color indexed="81"/>
            <rFont val="Tahoma"/>
            <family val="2"/>
          </rPr>
          <t>Table row below</t>
        </r>
        <r>
          <rPr>
            <sz val="9"/>
            <color indexed="81"/>
            <rFont val="Tahoma"/>
            <family val="2"/>
          </rPr>
          <t>.</t>
        </r>
      </text>
    </comment>
    <comment ref="D11" authorId="0" shapeId="0" xr:uid="{00000000-0006-0000-0200-000004000000}">
      <text>
        <r>
          <rPr>
            <sz val="9"/>
            <color indexed="81"/>
            <rFont val="Tahoma"/>
            <family val="2"/>
          </rPr>
          <t>When changing or adding dates, please write the month and the day of the month as text, e.g. 'apr 3.</t>
        </r>
      </text>
    </comment>
    <comment ref="B21" authorId="0" shapeId="0" xr:uid="{00000000-0006-0000-0200-000005000000}">
      <text>
        <r>
          <rPr>
            <sz val="9"/>
            <color indexed="81"/>
            <rFont val="Tahoma"/>
            <family val="2"/>
          </rPr>
          <t>When adding rows. Please right click on table and click</t>
        </r>
        <r>
          <rPr>
            <b/>
            <sz val="9"/>
            <color indexed="81"/>
            <rFont val="Tahoma"/>
            <family val="2"/>
          </rPr>
          <t xml:space="preserve"> Insert </t>
        </r>
        <r>
          <rPr>
            <sz val="9"/>
            <color indexed="81"/>
            <rFont val="Tahoma"/>
            <family val="2"/>
          </rPr>
          <t xml:space="preserve">&gt; </t>
        </r>
        <r>
          <rPr>
            <b/>
            <sz val="9"/>
            <color indexed="81"/>
            <rFont val="Tahoma"/>
            <family val="2"/>
          </rPr>
          <t>Table row below</t>
        </r>
        <r>
          <rPr>
            <sz val="9"/>
            <color indexed="81"/>
            <rFont val="Tahoma"/>
            <family val="2"/>
          </rPr>
          <t>.</t>
        </r>
      </text>
    </comment>
    <comment ref="D22" authorId="0" shapeId="0" xr:uid="{00000000-0006-0000-0200-000006000000}">
      <text>
        <r>
          <rPr>
            <sz val="9"/>
            <color indexed="81"/>
            <rFont val="Tahoma"/>
            <family val="2"/>
          </rPr>
          <t xml:space="preserve">When changing or adding dates, please write the month and the day of the month as text, e.g. 'apr 3.
</t>
        </r>
      </text>
    </comment>
    <comment ref="B29" authorId="0" shapeId="0" xr:uid="{00000000-0006-0000-0200-000007000000}">
      <text>
        <r>
          <rPr>
            <sz val="9"/>
            <color indexed="81"/>
            <rFont val="Tahoma"/>
            <family val="2"/>
          </rPr>
          <t xml:space="preserve">When adding rows. Please right click on table and click </t>
        </r>
        <r>
          <rPr>
            <b/>
            <sz val="9"/>
            <color indexed="81"/>
            <rFont val="Tahoma"/>
            <family val="2"/>
          </rPr>
          <t>Insert</t>
        </r>
        <r>
          <rPr>
            <sz val="9"/>
            <color indexed="81"/>
            <rFont val="Tahoma"/>
            <family val="2"/>
          </rPr>
          <t xml:space="preserve"> &gt; </t>
        </r>
        <r>
          <rPr>
            <b/>
            <sz val="9"/>
            <color indexed="81"/>
            <rFont val="Tahoma"/>
            <family val="2"/>
          </rPr>
          <t>Table row below</t>
        </r>
        <r>
          <rPr>
            <sz val="9"/>
            <color indexed="81"/>
            <rFont val="Tahoma"/>
            <family val="2"/>
          </rPr>
          <t>.</t>
        </r>
      </text>
    </comment>
    <comment ref="D30" authorId="0" shapeId="0" xr:uid="{00000000-0006-0000-0200-000008000000}">
      <text>
        <r>
          <rPr>
            <sz val="9"/>
            <color indexed="81"/>
            <rFont val="Tahoma"/>
            <family val="2"/>
          </rPr>
          <t>When changing or adding dates, please write the month and the day of the month as text, e.g. 'apr 3.</t>
        </r>
      </text>
    </comment>
  </commentList>
</comments>
</file>

<file path=xl/sharedStrings.xml><?xml version="1.0" encoding="utf-8"?>
<sst xmlns="http://schemas.openxmlformats.org/spreadsheetml/2006/main" count="708" uniqueCount="269">
  <si>
    <t>TIMESHEETS  MUST BE SIGNED AND DATED MONTHLY BY YOU AND YOUR SUPERVISOR</t>
  </si>
  <si>
    <t>TIME SHEET INSTRUCTIONS</t>
  </si>
  <si>
    <r>
      <rPr>
        <b/>
        <sz val="16"/>
        <rFont val="Calibri"/>
        <family val="2"/>
        <scheme val="minor"/>
      </rPr>
      <t>START PAGE</t>
    </r>
    <r>
      <rPr>
        <sz val="11"/>
        <rFont val="Calibri"/>
        <family val="2"/>
        <scheme val="minor"/>
      </rPr>
      <t xml:space="preserve">
</t>
    </r>
    <r>
      <rPr>
        <b/>
        <sz val="10"/>
        <rFont val="Calibri"/>
        <family val="2"/>
        <scheme val="minor"/>
      </rPr>
      <t>Start by filling in the 'Start page'. This information is automatically distributed to the monthly pages. NB: this information is mandatory.</t>
    </r>
    <r>
      <rPr>
        <sz val="10"/>
        <rFont val="Calibri"/>
        <family val="2"/>
        <scheme val="minor"/>
      </rPr>
      <t xml:space="preserve">
</t>
    </r>
    <r>
      <rPr>
        <u/>
        <sz val="10"/>
        <rFont val="Calibri"/>
        <family val="2"/>
        <scheme val="minor"/>
      </rPr>
      <t>Acronym</t>
    </r>
    <r>
      <rPr>
        <sz val="10"/>
        <rFont val="Calibri"/>
        <family val="2"/>
        <scheme val="minor"/>
      </rPr>
      <t xml:space="preserve"> and </t>
    </r>
    <r>
      <rPr>
        <u/>
        <sz val="10"/>
        <rFont val="Calibri"/>
        <family val="2"/>
        <scheme val="minor"/>
      </rPr>
      <t xml:space="preserve">Contract number </t>
    </r>
    <r>
      <rPr>
        <sz val="10"/>
        <rFont val="Calibri"/>
        <family val="2"/>
        <scheme val="minor"/>
      </rPr>
      <t xml:space="preserve">are free text cells, </t>
    </r>
    <r>
      <rPr>
        <u/>
        <sz val="10"/>
        <rFont val="Calibri"/>
        <family val="2"/>
        <scheme val="minor"/>
      </rPr>
      <t>WP number</t>
    </r>
    <r>
      <rPr>
        <sz val="10"/>
        <rFont val="Calibri"/>
        <family val="2"/>
        <scheme val="minor"/>
      </rPr>
      <t>,</t>
    </r>
    <r>
      <rPr>
        <u/>
        <sz val="10"/>
        <rFont val="Calibri"/>
        <family val="2"/>
        <scheme val="minor"/>
      </rPr>
      <t xml:space="preserve"> Program/type</t>
    </r>
    <r>
      <rPr>
        <sz val="10"/>
        <rFont val="Calibri"/>
        <family val="2"/>
        <scheme val="minor"/>
      </rPr>
      <t xml:space="preserve"> 
and </t>
    </r>
    <r>
      <rPr>
        <u/>
        <sz val="10"/>
        <rFont val="Calibri"/>
        <family val="2"/>
        <scheme val="minor"/>
      </rPr>
      <t>Activity</t>
    </r>
    <r>
      <rPr>
        <sz val="10"/>
        <rFont val="Calibri"/>
        <family val="2"/>
        <scheme val="minor"/>
      </rPr>
      <t xml:space="preserve"> are drop down menues. 
</t>
    </r>
    <r>
      <rPr>
        <u/>
        <sz val="10"/>
        <rFont val="Calibri"/>
        <family val="2"/>
        <scheme val="minor"/>
      </rPr>
      <t>Contract number</t>
    </r>
    <r>
      <rPr>
        <sz val="10"/>
        <rFont val="Calibri"/>
        <family val="2"/>
        <scheme val="minor"/>
      </rPr>
      <t xml:space="preserve"> = according to the agreement with the funding agency (Grant Agreement, subcontract agreement etc). If you don't know the contract number, please consult your grant administrator.
</t>
    </r>
    <r>
      <rPr>
        <u/>
        <sz val="10"/>
        <rFont val="Calibri"/>
        <family val="2"/>
        <scheme val="minor"/>
      </rPr>
      <t>WP no</t>
    </r>
    <r>
      <rPr>
        <sz val="10"/>
        <rFont val="Calibri"/>
        <family val="2"/>
        <scheme val="minor"/>
      </rPr>
      <t xml:space="preserve">: For EU projects, you must report your hours per Work Package (WP) for each project. If you don't know the WP numbers, please advice the PI of the project. 
WPs do not usually apply or have to be reported on ERC  and Marie Curie projects.  
You may choose "-" as WP number.  
</t>
    </r>
    <r>
      <rPr>
        <u/>
        <sz val="10"/>
        <rFont val="Calibri"/>
        <family val="2"/>
        <scheme val="minor"/>
      </rPr>
      <t>Activity</t>
    </r>
    <r>
      <rPr>
        <sz val="10"/>
        <rFont val="Calibri"/>
        <family val="2"/>
        <scheme val="minor"/>
      </rPr>
      <t xml:space="preserve"> only applies to FP7 projects.
RTD = Research &amp; Innovation
Demonstration = Prove viability of new technologies (eg. testing prototypes)
Management = Management of the consortium, normally only applies to projects where KI is the coordinator
Other = covers non-RTD/Management, e.g. dissemination, training, intellectual property rights etc
Coordination &amp; Support = only applicable for Coordination &amp; Support-projects
'OTHER HOURS WORKED' is automatically chosen as the last project row in the template.
</t>
    </r>
    <r>
      <rPr>
        <b/>
        <u/>
        <sz val="10"/>
        <color theme="5" tint="-0.249977111117893"/>
        <rFont val="Calibri"/>
        <family val="2"/>
        <scheme val="minor"/>
      </rPr>
      <t>When printing</t>
    </r>
    <r>
      <rPr>
        <sz val="10"/>
        <rFont val="Calibri"/>
        <family val="2"/>
        <scheme val="minor"/>
      </rPr>
      <t xml:space="preserve"> , please choose the range 'Start page' to 'Overview' and make sure you adjust each sheet to one page 
</t>
    </r>
    <r>
      <rPr>
        <b/>
        <sz val="11"/>
        <rFont val="Calibri"/>
        <family val="2"/>
        <scheme val="minor"/>
      </rPr>
      <t xml:space="preserve">
</t>
    </r>
  </si>
  <si>
    <r>
      <rPr>
        <b/>
        <sz val="16"/>
        <rFont val="Calibri"/>
        <family val="2"/>
        <scheme val="minor"/>
      </rPr>
      <t>MONTHLY PAGES</t>
    </r>
    <r>
      <rPr>
        <sz val="10"/>
        <rFont val="Calibri"/>
        <family val="2"/>
        <scheme val="minor"/>
      </rPr>
      <t xml:space="preserve">
Under each specific date, fill in the number of hours you have worked in each WP/project. 
Weekends and Swedish holidays are marked with red. The light pink color indicates KI days that are shortened for TA staff (e.g. January 5). The dark pink color indicates days that are so called clamp days ("klämdagar") for TA staff (e.g. May 11) or fully shortened (e.g. November 2). See the page 'Holidays' for more information on the dates.
Please fill in the </t>
    </r>
    <r>
      <rPr>
        <b/>
        <u/>
        <sz val="10"/>
        <color theme="5" tint="-0.249977111117893"/>
        <rFont val="Calibri"/>
        <family val="2"/>
        <scheme val="minor"/>
      </rPr>
      <t>actual hours</t>
    </r>
    <r>
      <rPr>
        <sz val="10"/>
        <rFont val="Calibri"/>
        <family val="2"/>
        <scheme val="minor"/>
      </rPr>
      <t xml:space="preserve"> worked and not an estimation of time. This means, if have you worked e.g. 10 hours in a day, you should report this in the time sheets. Actual hours should be filled in regardless of your salary allocation ("lönekontering") on the project.
Please note:
</t>
    </r>
    <r>
      <rPr>
        <b/>
        <u/>
        <sz val="10"/>
        <color theme="9" tint="-0.499984740745262"/>
        <rFont val="Calibri"/>
        <family val="2"/>
        <scheme val="minor"/>
      </rPr>
      <t xml:space="preserve">You need to fill in 100% of your KI employment </t>
    </r>
    <r>
      <rPr>
        <sz val="10"/>
        <rFont val="Calibri"/>
        <family val="2"/>
        <scheme val="minor"/>
      </rPr>
      <t xml:space="preserve">and working time, even if you work part-time in each specific project. Hours outside these projects should be reported under </t>
    </r>
    <r>
      <rPr>
        <b/>
        <u/>
        <sz val="10"/>
        <color theme="9" tint="-0.499984740745262"/>
        <rFont val="Calibri"/>
        <family val="2"/>
        <scheme val="minor"/>
      </rPr>
      <t>“OTHER HOURS WORKED</t>
    </r>
    <r>
      <rPr>
        <sz val="10"/>
        <rFont val="Calibri"/>
        <family val="2"/>
        <scheme val="minor"/>
      </rPr>
      <t xml:space="preserve">”. This means, the total hours filled in your time sheets for various projects is equivalent to your percentage of employment at KI. 
The hours you report here are the 100% of your working time at KI, and is not to include the time you work for other employers.
Take into account the amount of time spent on e.g. teaching, non-project meetings (e.g. department meetings) and attending courses and report these hours under "OTHER HOURS WORKED".
If you have been on annual leave (=holidays/vacation), sick leave, parental leave or any other leave, please report those actual number of hours in the respective categories under </t>
    </r>
    <r>
      <rPr>
        <b/>
        <u/>
        <sz val="10"/>
        <color theme="5" tint="-0.249977111117893"/>
        <rFont val="Calibri"/>
        <family val="2"/>
        <scheme val="minor"/>
      </rPr>
      <t>Absences</t>
    </r>
    <r>
      <rPr>
        <u/>
        <sz val="10"/>
        <color theme="5" tint="-0.249977111117893"/>
        <rFont val="Calibri"/>
        <family val="2"/>
        <scheme val="minor"/>
      </rPr>
      <t>.</t>
    </r>
    <r>
      <rPr>
        <sz val="10"/>
        <rFont val="Calibri"/>
        <family val="2"/>
        <scheme val="minor"/>
      </rPr>
      <t xml:space="preserve"> Care of a sick child ("VAB") should be reported as 'Special leave'.
If you have standard holiday ("schablonsemester"), you should report your actual annual leave.
</t>
    </r>
  </si>
  <si>
    <t>TIME SHEETS SHOULD BE PRINTED, SIGNED AND DATED MONTHLY</t>
  </si>
  <si>
    <t>IF YOU HAVE ANY QUESTIONS, PLEASE CONSULT YOUR CONTACT PERSON AT KI GRANTS MANAGEMENT OFFICE (GMO)</t>
  </si>
  <si>
    <t>Start page</t>
  </si>
  <si>
    <t>Beneficiary:</t>
  </si>
  <si>
    <t>Karolinska Institutet</t>
  </si>
  <si>
    <t>Year:</t>
  </si>
  <si>
    <t>Project member:</t>
  </si>
  <si>
    <t>Department:</t>
  </si>
  <si>
    <t>Title / function:</t>
  </si>
  <si>
    <t>Project superior:</t>
  </si>
  <si>
    <t>Acronym / Project Name</t>
  </si>
  <si>
    <t>WP Number</t>
  </si>
  <si>
    <t>GA/NoA/Contract no</t>
  </si>
  <si>
    <t>Program / type</t>
  </si>
  <si>
    <t>Notes</t>
  </si>
  <si>
    <t>Number of WP warnings</t>
  </si>
  <si>
    <t>EU?</t>
  </si>
  <si>
    <t>Contract no. Warning</t>
  </si>
  <si>
    <t>Programme/type warning</t>
  </si>
  <si>
    <t>FP7 activity warning</t>
  </si>
  <si>
    <t>Number of projects</t>
  </si>
  <si>
    <t>FOR INFORMATION ON HOW TO UPDATE, PLEASE READ THE INSTRUCTIONS</t>
  </si>
  <si>
    <t>Maria Weiss</t>
  </si>
  <si>
    <t>GMO</t>
  </si>
  <si>
    <t>PhD</t>
  </si>
  <si>
    <t>Anette Molin Götz</t>
  </si>
  <si>
    <t>PI</t>
  </si>
  <si>
    <t>Fight4Timesheets</t>
  </si>
  <si>
    <t>WP1</t>
  </si>
  <si>
    <t>H2020</t>
  </si>
  <si>
    <t>WP2</t>
  </si>
  <si>
    <t>January</t>
  </si>
  <si>
    <t>Employee:</t>
  </si>
  <si>
    <t>Project information</t>
  </si>
  <si>
    <t>Total hours</t>
  </si>
  <si>
    <t>Total days</t>
  </si>
  <si>
    <t>Total % of FTE</t>
  </si>
  <si>
    <t>Other information (e.g. travel, project meetings, conferences, etc.)</t>
  </si>
  <si>
    <t>Conference 24-25 Jan</t>
  </si>
  <si>
    <t>Absences (i.e. holiday, sick leave, parental leave, etc.)</t>
  </si>
  <si>
    <t>Vab 50%, vacation</t>
  </si>
  <si>
    <t>x</t>
  </si>
  <si>
    <t>Total productive hours and days</t>
  </si>
  <si>
    <t>Total hours and days</t>
  </si>
  <si>
    <t>Signed:</t>
  </si>
  <si>
    <t>Approved:</t>
  </si>
  <si>
    <t xml:space="preserve">Warning signs: </t>
  </si>
  <si>
    <t>Excessive Productive Hrs</t>
  </si>
  <si>
    <t>Reported &gt;24 Hrs / day</t>
  </si>
  <si>
    <t>Project member</t>
  </si>
  <si>
    <t>Supervisor/Person responsible</t>
  </si>
  <si>
    <t>Timesheets must be signed and dated monthly</t>
  </si>
  <si>
    <t>To enable a continuous processing, GMO wishes to receive the timesheet by the 10th of the following month</t>
  </si>
  <si>
    <t>Date</t>
  </si>
  <si>
    <t>February</t>
  </si>
  <si>
    <t>March</t>
  </si>
  <si>
    <t>April</t>
  </si>
  <si>
    <t>May</t>
  </si>
  <si>
    <t>June</t>
  </si>
  <si>
    <t>July</t>
  </si>
  <si>
    <t>August</t>
  </si>
  <si>
    <t>October</t>
  </si>
  <si>
    <t>November</t>
  </si>
  <si>
    <t>December</t>
  </si>
  <si>
    <t>September</t>
  </si>
  <si>
    <t>Program</t>
  </si>
  <si>
    <t>WP</t>
  </si>
  <si>
    <t>-</t>
  </si>
  <si>
    <t>HEU</t>
  </si>
  <si>
    <t>NIH</t>
  </si>
  <si>
    <t>US Army</t>
  </si>
  <si>
    <t>WP3</t>
  </si>
  <si>
    <t>Other US</t>
  </si>
  <si>
    <t>WP4</t>
  </si>
  <si>
    <t>Sida</t>
  </si>
  <si>
    <t>WP5</t>
  </si>
  <si>
    <t>Erasmus+</t>
  </si>
  <si>
    <t>WP6</t>
  </si>
  <si>
    <t>Other (KI)</t>
  </si>
  <si>
    <t>WP7</t>
  </si>
  <si>
    <t>WP8</t>
  </si>
  <si>
    <t>WP9</t>
  </si>
  <si>
    <t>WP10</t>
  </si>
  <si>
    <t>WP11</t>
  </si>
  <si>
    <t>WP12</t>
  </si>
  <si>
    <t>WP13</t>
  </si>
  <si>
    <t>WP14</t>
  </si>
  <si>
    <t>WP15</t>
  </si>
  <si>
    <t>WP16</t>
  </si>
  <si>
    <t>WP17</t>
  </si>
  <si>
    <t>WP18</t>
  </si>
  <si>
    <t>WP19</t>
  </si>
  <si>
    <t>WP20</t>
  </si>
  <si>
    <t>WP21</t>
  </si>
  <si>
    <t>WP22</t>
  </si>
  <si>
    <t>WP23</t>
  </si>
  <si>
    <t>WP24</t>
  </si>
  <si>
    <t>WP25</t>
  </si>
  <si>
    <t>WP26</t>
  </si>
  <si>
    <t>WP27</t>
  </si>
  <si>
    <t>WP28</t>
  </si>
  <si>
    <t>WP29</t>
  </si>
  <si>
    <t>WP30</t>
  </si>
  <si>
    <t>WP31</t>
  </si>
  <si>
    <t>WP32</t>
  </si>
  <si>
    <t>WP33</t>
  </si>
  <si>
    <t>WP34</t>
  </si>
  <si>
    <t>WP35</t>
  </si>
  <si>
    <t>WP36</t>
  </si>
  <si>
    <t>WP37</t>
  </si>
  <si>
    <t>WP38</t>
  </si>
  <si>
    <t>WP39</t>
  </si>
  <si>
    <t>WP40</t>
  </si>
  <si>
    <t>WP41</t>
  </si>
  <si>
    <t>WP42</t>
  </si>
  <si>
    <t>WP43</t>
  </si>
  <si>
    <t>WP44</t>
  </si>
  <si>
    <t>WP45</t>
  </si>
  <si>
    <t>WP46</t>
  </si>
  <si>
    <t>WP47</t>
  </si>
  <si>
    <t>WP48</t>
  </si>
  <si>
    <t>WP49</t>
  </si>
  <si>
    <t>WP50</t>
  </si>
  <si>
    <t>WP51</t>
  </si>
  <si>
    <t>WP52</t>
  </si>
  <si>
    <t>WP53</t>
  </si>
  <si>
    <t>WP54</t>
  </si>
  <si>
    <t>WP55</t>
  </si>
  <si>
    <t>WP56</t>
  </si>
  <si>
    <t>WP57</t>
  </si>
  <si>
    <t>WP58</t>
  </si>
  <si>
    <t>WP59</t>
  </si>
  <si>
    <t>WP60</t>
  </si>
  <si>
    <t>WP61</t>
  </si>
  <si>
    <t>WP62</t>
  </si>
  <si>
    <t>WP63</t>
  </si>
  <si>
    <t>WP64</t>
  </si>
  <si>
    <t>WP65</t>
  </si>
  <si>
    <t>WP66</t>
  </si>
  <si>
    <t>WP67</t>
  </si>
  <si>
    <t>WP68</t>
  </si>
  <si>
    <t>WP69</t>
  </si>
  <si>
    <t>WP70</t>
  </si>
  <si>
    <t>WP71</t>
  </si>
  <si>
    <t>WP72</t>
  </si>
  <si>
    <t>WP73</t>
  </si>
  <si>
    <t>WP74</t>
  </si>
  <si>
    <t>WP75</t>
  </si>
  <si>
    <t>WP76</t>
  </si>
  <si>
    <t>WP77</t>
  </si>
  <si>
    <t>WP78</t>
  </si>
  <si>
    <t>WP79</t>
  </si>
  <si>
    <t>WP80</t>
  </si>
  <si>
    <t>WP81</t>
  </si>
  <si>
    <t>WP82</t>
  </si>
  <si>
    <t>WP83</t>
  </si>
  <si>
    <t>WP84</t>
  </si>
  <si>
    <t>WP85</t>
  </si>
  <si>
    <t>WP86</t>
  </si>
  <si>
    <t>WP87</t>
  </si>
  <si>
    <t>WP88</t>
  </si>
  <si>
    <t>WP89</t>
  </si>
  <si>
    <t>WP90</t>
  </si>
  <si>
    <t>WP91</t>
  </si>
  <si>
    <t>WP92</t>
  </si>
  <si>
    <t>WP93</t>
  </si>
  <si>
    <t>WP94</t>
  </si>
  <si>
    <t>WP95</t>
  </si>
  <si>
    <t>WP96</t>
  </si>
  <si>
    <t>WP97</t>
  </si>
  <si>
    <t>WP98</t>
  </si>
  <si>
    <t>WP99</t>
  </si>
  <si>
    <t>8e73v0vPMk--PaHdoEPAXejFCr5kM85NrAK7odparQZUQlpLWlVOVDRNUVU2NERTRFg1TDFIUEM3Qi4u</t>
  </si>
  <si>
    <t>Form1</t>
  </si>
  <si>
    <t>{62cc1674-581e-4490-ac44-3f97ea249b86}</t>
  </si>
  <si>
    <t>AO6414</t>
  </si>
  <si>
    <t>Holidays - fixed weekdays</t>
  </si>
  <si>
    <t>WorkHours</t>
  </si>
  <si>
    <t>Holiday</t>
  </si>
  <si>
    <t>Weekday</t>
  </si>
  <si>
    <t>DateInYear</t>
  </si>
  <si>
    <t>Year</t>
  </si>
  <si>
    <t>Month</t>
  </si>
  <si>
    <t>Day</t>
  </si>
  <si>
    <t>jan</t>
  </si>
  <si>
    <t>Good Friday</t>
  </si>
  <si>
    <t>feb</t>
  </si>
  <si>
    <t>Easter Monday</t>
  </si>
  <si>
    <t>mar</t>
  </si>
  <si>
    <t>Ascension Day</t>
  </si>
  <si>
    <t>apr</t>
  </si>
  <si>
    <t>Midsummer</t>
  </si>
  <si>
    <t>may</t>
  </si>
  <si>
    <t>jun</t>
  </si>
  <si>
    <t>Holidays - fixed dates</t>
  </si>
  <si>
    <t>jul</t>
  </si>
  <si>
    <t>aug</t>
  </si>
  <si>
    <t>New Years Day</t>
  </si>
  <si>
    <t>Jan 1</t>
  </si>
  <si>
    <t>sep</t>
  </si>
  <si>
    <t>Epiphany</t>
  </si>
  <si>
    <t>Jan 6</t>
  </si>
  <si>
    <t>oct</t>
  </si>
  <si>
    <t xml:space="preserve">Labor Day </t>
  </si>
  <si>
    <t>May 1</t>
  </si>
  <si>
    <t>nov</t>
  </si>
  <si>
    <t>Swedish National Day</t>
  </si>
  <si>
    <t>Jun 6</t>
  </si>
  <si>
    <t>dec</t>
  </si>
  <si>
    <t>Christmas Eve</t>
  </si>
  <si>
    <t>Dec 24</t>
  </si>
  <si>
    <t>Christmas Day</t>
  </si>
  <si>
    <t>Dec 25</t>
  </si>
  <si>
    <t>Boxing Day</t>
  </si>
  <si>
    <t>Dec 26</t>
  </si>
  <si>
    <t>New Year's Eve</t>
  </si>
  <si>
    <t>Dec 31</t>
  </si>
  <si>
    <t>Shortened working days for TA staff</t>
  </si>
  <si>
    <t>Epiphany Eve</t>
  </si>
  <si>
    <t>Jan 5</t>
  </si>
  <si>
    <t>Maundy Thursday</t>
  </si>
  <si>
    <t>Walpurgis night</t>
  </si>
  <si>
    <t>Apr 30</t>
  </si>
  <si>
    <t>Day before All Saints Day</t>
  </si>
  <si>
    <t>Day before Christmas Eve</t>
  </si>
  <si>
    <t>Dec 23</t>
  </si>
  <si>
    <t>Bridging days for TA staff</t>
  </si>
  <si>
    <t>Day after Boxing Day</t>
  </si>
  <si>
    <t>Dec 27</t>
  </si>
  <si>
    <t>Day Before New Years Eve</t>
  </si>
  <si>
    <t>Dec 30</t>
  </si>
  <si>
    <t>OVERVIEW</t>
  </si>
  <si>
    <t>Jan</t>
  </si>
  <si>
    <t>Feb</t>
  </si>
  <si>
    <t>Mar</t>
  </si>
  <si>
    <t>Apr</t>
  </si>
  <si>
    <t>Jun</t>
  </si>
  <si>
    <t>Jul</t>
  </si>
  <si>
    <t>Aug</t>
  </si>
  <si>
    <t>Sep</t>
  </si>
  <si>
    <t>Oct</t>
  </si>
  <si>
    <t>Nov</t>
  </si>
  <si>
    <t>Dec</t>
  </si>
  <si>
    <t xml:space="preserve">Total % per month </t>
  </si>
  <si>
    <t xml:space="preserve"> </t>
  </si>
  <si>
    <t>Other EU</t>
  </si>
  <si>
    <t>Jan 7</t>
  </si>
  <si>
    <t>Day after Epiphany Day</t>
  </si>
  <si>
    <t>Total % of FTE 
(only for US-projects)</t>
  </si>
  <si>
    <r>
      <rPr>
        <b/>
        <u/>
        <sz val="12"/>
        <rFont val="Calibri"/>
        <family val="2"/>
        <scheme val="minor"/>
      </rPr>
      <t>START PAGE</t>
    </r>
    <r>
      <rPr>
        <sz val="12"/>
        <rFont val="Calibri"/>
        <family val="2"/>
        <scheme val="minor"/>
      </rPr>
      <t xml:space="preserve">
</t>
    </r>
    <r>
      <rPr>
        <b/>
        <sz val="12"/>
        <rFont val="Calibri"/>
        <family val="2"/>
        <scheme val="minor"/>
      </rPr>
      <t xml:space="preserve">Start by filling in the 'Start page'. </t>
    </r>
    <r>
      <rPr>
        <b/>
        <u/>
        <sz val="12"/>
        <rFont val="Calibri"/>
        <family val="2"/>
        <scheme val="minor"/>
      </rPr>
      <t>This information is mandatory</t>
    </r>
    <r>
      <rPr>
        <b/>
        <sz val="12"/>
        <rFont val="Calibri"/>
        <family val="2"/>
        <scheme val="minor"/>
      </rPr>
      <t xml:space="preserve"> and will automatically populate the monthly pages. </t>
    </r>
    <r>
      <rPr>
        <sz val="12"/>
        <rFont val="Calibri"/>
        <family val="2"/>
        <scheme val="minor"/>
      </rPr>
      <t xml:space="preserve">
</t>
    </r>
    <r>
      <rPr>
        <u/>
        <sz val="12"/>
        <rFont val="Calibri"/>
        <family val="2"/>
        <scheme val="minor"/>
      </rPr>
      <t>Acronym</t>
    </r>
    <r>
      <rPr>
        <sz val="12"/>
        <rFont val="Calibri"/>
        <family val="2"/>
        <scheme val="minor"/>
      </rPr>
      <t xml:space="preserve"> and </t>
    </r>
    <r>
      <rPr>
        <u/>
        <sz val="12"/>
        <rFont val="Calibri"/>
        <family val="2"/>
        <scheme val="minor"/>
      </rPr>
      <t xml:space="preserve">Grant Agreement number "GA" (EU)/Award number "NoA" (US)/Contract number (SIDA) </t>
    </r>
    <r>
      <rPr>
        <sz val="12"/>
        <rFont val="Calibri"/>
        <family val="2"/>
        <scheme val="minor"/>
      </rPr>
      <t xml:space="preserve">are free text cells.
</t>
    </r>
    <r>
      <rPr>
        <u/>
        <sz val="12"/>
        <rFont val="Calibri"/>
        <family val="2"/>
        <scheme val="minor"/>
      </rPr>
      <t>WP number</t>
    </r>
    <r>
      <rPr>
        <sz val="12"/>
        <rFont val="Calibri"/>
        <family val="2"/>
        <scheme val="minor"/>
      </rPr>
      <t xml:space="preserve"> and </t>
    </r>
    <r>
      <rPr>
        <u/>
        <sz val="12"/>
        <rFont val="Calibri"/>
        <family val="2"/>
        <scheme val="minor"/>
      </rPr>
      <t>Program/type</t>
    </r>
    <r>
      <rPr>
        <sz val="12"/>
        <rFont val="Calibri"/>
        <family val="2"/>
        <scheme val="minor"/>
      </rPr>
      <t xml:space="preserve"> are drop down menus. 
</t>
    </r>
    <r>
      <rPr>
        <u/>
        <sz val="12"/>
        <rFont val="Calibri"/>
        <family val="2"/>
        <scheme val="minor"/>
      </rPr>
      <t>WP No</t>
    </r>
    <r>
      <rPr>
        <sz val="12"/>
        <rFont val="Calibri"/>
        <family val="2"/>
        <scheme val="minor"/>
      </rPr>
      <t xml:space="preserve">: For EU projects, you must report your hours per Work Package (WP). If you don't know the WP numbers, contact the PI of the project.
For ERC, MSCA, and US projects, WPs do not usually apply or have to be reported. For these projects, choose "-" as the WP number. </t>
    </r>
    <r>
      <rPr>
        <sz val="12"/>
        <color theme="1"/>
        <rFont val="Calibri"/>
        <family val="2"/>
        <scheme val="minor"/>
      </rPr>
      <t xml:space="preserve">
</t>
    </r>
  </si>
  <si>
    <t>May 29</t>
  </si>
  <si>
    <t>May 30</t>
  </si>
  <si>
    <t>Oct 31</t>
  </si>
  <si>
    <t>Day after Labour day</t>
  </si>
  <si>
    <t>May 2</t>
  </si>
  <si>
    <t>Friday after Ascension day</t>
  </si>
  <si>
    <t>Apr 17</t>
  </si>
  <si>
    <t>Apr 21</t>
  </si>
  <si>
    <t>Apr 18</t>
  </si>
  <si>
    <t>Jun 20</t>
  </si>
  <si>
    <t>TIMESHEET INSTRUCTIONS 2025</t>
  </si>
  <si>
    <r>
      <rPr>
        <b/>
        <u/>
        <sz val="12"/>
        <color rgb="FF000000"/>
        <rFont val="Calibri"/>
        <family val="2"/>
      </rPr>
      <t xml:space="preserve">MONTHLY PAGES
</t>
    </r>
    <r>
      <rPr>
        <sz val="12"/>
        <color rgb="FF000000"/>
        <rFont val="Calibri"/>
        <family val="2"/>
      </rPr>
      <t xml:space="preserve">
- Please fill in the actual hours you have worked - not an estimation or percentage of time. Decimals are counted as percentage of 60 minutes.
- To enable a continuous processing, GO wish to receive the timesheet by the 10th the next month.  Timesheets signed later than the last date of the following month will not be accepted.
- Holidays and Leave</t>
    </r>
    <r>
      <rPr>
        <b/>
        <sz val="12"/>
        <color rgb="FF000000"/>
        <rFont val="Calibri"/>
        <family val="2"/>
      </rPr>
      <t>:</t>
    </r>
    <r>
      <rPr>
        <sz val="12"/>
        <color rgb="FF000000"/>
        <rFont val="Calibri"/>
        <family val="2"/>
      </rPr>
      <t xml:space="preserve"> Weekends and Swedish holidays are marked with red. 
For annual leave, sick leave, parental leave, care of a sick child (VAB), or any other leave, please report the actual number of hours on the row for Absences. </t>
    </r>
    <r>
      <rPr>
        <b/>
        <sz val="12"/>
        <color rgb="FF000000"/>
        <rFont val="Calibri"/>
        <family val="2"/>
      </rPr>
      <t>Vacation and worked hours should not be reported on the same day</t>
    </r>
    <r>
      <rPr>
        <sz val="12"/>
        <color rgb="FF000000"/>
        <rFont val="Calibri"/>
        <family val="2"/>
      </rPr>
      <t xml:space="preserve">. Do not report flexi time.
                                                                                                                                                                                                                       - </t>
    </r>
    <r>
      <rPr>
        <i/>
        <sz val="12"/>
        <color rgb="FF000000"/>
        <rFont val="Calibri"/>
        <family val="2"/>
      </rPr>
      <t>For Technical and Administration (TA) staff only</t>
    </r>
    <r>
      <rPr>
        <sz val="12"/>
        <color rgb="FF000000"/>
        <rFont val="Calibri"/>
        <family val="2"/>
      </rPr>
      <t xml:space="preserve">: Days marked with light pink indicate KI days that are shortened. The dark pink color indicates days that are bridging days ("klämdagar") for TA staff. See the sheet 'Holidays' for more information. 
</t>
    </r>
    <r>
      <rPr>
        <b/>
        <sz val="12"/>
        <color rgb="FF000000"/>
        <rFont val="Calibri"/>
        <family val="2"/>
      </rPr>
      <t xml:space="preserve">See "Example1" tab how to fill in the "Start page" (required information in green).
See "Example2" tab how required information (marked green in the example) populates the monthly pages.                           </t>
    </r>
  </si>
  <si>
    <r>
      <rPr>
        <b/>
        <u/>
        <sz val="12"/>
        <color rgb="FF000000"/>
        <rFont val="Calibri"/>
        <family val="2"/>
      </rPr>
      <t xml:space="preserve">TIMESHEET ENTRANCE
</t>
    </r>
    <r>
      <rPr>
        <sz val="12"/>
        <color rgb="FF000000"/>
        <rFont val="Calibri"/>
        <family val="2"/>
      </rPr>
      <t xml:space="preserve">
Timesheets signed by hand should be sent to GO via the internal mail or postal mail to following address:
Karolinska Institutet
Grants Office
C/O  ”time-sheets-GO”
Nobels väg 15 A
171 77 Solna
Digitally signed timesheets EduSign should be sent to GO by e-mail to the following e-mailadress: timesheets@ki.se
</t>
    </r>
  </si>
  <si>
    <t>IF YOU HAVE ANY QUESTIONS, PLEASE CONTACT TIME SHEETS ADMIN AT KI'S GRANTS OFFICE (GO): timesheets@ki.se</t>
  </si>
  <si>
    <t>To enable a continuous processing, GO wishes to receive the timesheet by the 10th of the following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</si>
</sst>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43" formatCode="_-* #,##0.00_-;\-* #,##0.00_-;_-* &quot;-&quot;??_-;_-@_-"/>
    <numFmt numFmtId="164" formatCode="mmm/d"/>
    <numFmt numFmtId="165" formatCode="mmm\ d"/>
    <numFmt numFmtId="166" formatCode="d"/>
    <numFmt numFmtId="167" formatCode="0.0"/>
  </numFmts>
  <fonts count="70" x14ac:knownFonts="1">
    <font>
      <sz val="11"/>
      <color theme="1"/>
      <name val="Calibri"/>
      <family val="2"/>
      <scheme val="minor"/>
    </font>
    <font>
      <sz val="10"/>
      <color theme="1"/>
      <name val="Calibri"/>
      <family val="2"/>
      <scheme val="minor"/>
    </font>
    <font>
      <sz val="10"/>
      <name val="Times New Roman"/>
      <family val="1"/>
    </font>
    <font>
      <b/>
      <sz val="11"/>
      <color theme="1"/>
      <name val="Calibri"/>
      <family val="2"/>
      <scheme val="minor"/>
    </font>
    <font>
      <sz val="8"/>
      <color theme="1"/>
      <name val="Calibri"/>
      <family val="2"/>
      <scheme val="minor"/>
    </font>
    <font>
      <b/>
      <sz val="8"/>
      <color theme="1"/>
      <name val="Calibri"/>
      <family val="2"/>
      <scheme val="minor"/>
    </font>
    <font>
      <b/>
      <sz val="10"/>
      <color theme="1"/>
      <name val="Calibri"/>
      <family val="2"/>
      <scheme val="minor"/>
    </font>
    <font>
      <b/>
      <sz val="12"/>
      <name val="Calibri"/>
      <family val="2"/>
      <scheme val="minor"/>
    </font>
    <font>
      <sz val="8"/>
      <name val="Calibri"/>
      <family val="2"/>
      <scheme val="minor"/>
    </font>
    <font>
      <i/>
      <sz val="8"/>
      <name val="Calibri"/>
      <family val="2"/>
      <scheme val="minor"/>
    </font>
    <font>
      <sz val="10"/>
      <name val="Calibri"/>
      <family val="2"/>
      <scheme val="minor"/>
    </font>
    <font>
      <sz val="9"/>
      <color theme="1"/>
      <name val="Calibri"/>
      <family val="2"/>
      <scheme val="minor"/>
    </font>
    <font>
      <b/>
      <sz val="9"/>
      <color theme="1"/>
      <name val="Calibri"/>
      <family val="2"/>
      <scheme val="minor"/>
    </font>
    <font>
      <b/>
      <sz val="8"/>
      <name val="Calibri"/>
      <family val="2"/>
      <scheme val="minor"/>
    </font>
    <font>
      <b/>
      <sz val="10"/>
      <name val="Calibri"/>
      <family val="2"/>
      <scheme val="minor"/>
    </font>
    <font>
      <sz val="12"/>
      <color theme="1"/>
      <name val="Calibri"/>
      <family val="2"/>
      <scheme val="minor"/>
    </font>
    <font>
      <sz val="11"/>
      <color theme="1"/>
      <name val="Times New Roman"/>
      <family val="1"/>
    </font>
    <font>
      <sz val="9"/>
      <color theme="1"/>
      <name val="Times New Roman"/>
      <family val="1"/>
    </font>
    <font>
      <b/>
      <sz val="11"/>
      <name val="Calibri"/>
      <family val="2"/>
      <scheme val="minor"/>
    </font>
    <font>
      <sz val="10"/>
      <color theme="1"/>
      <name val="Times New Roman"/>
      <family val="1"/>
    </font>
    <font>
      <b/>
      <sz val="14"/>
      <color theme="1"/>
      <name val="Calibri"/>
      <family val="2"/>
      <scheme val="minor"/>
    </font>
    <font>
      <b/>
      <sz val="10"/>
      <color indexed="8"/>
      <name val="Calibri"/>
      <family val="2"/>
      <scheme val="minor"/>
    </font>
    <font>
      <sz val="11"/>
      <color theme="0"/>
      <name val="Calibri"/>
      <family val="2"/>
      <scheme val="minor"/>
    </font>
    <font>
      <sz val="11"/>
      <name val="Calibri"/>
      <family val="2"/>
      <scheme val="minor"/>
    </font>
    <font>
      <sz val="10"/>
      <color theme="0"/>
      <name val="Calibri"/>
      <family val="2"/>
      <scheme val="minor"/>
    </font>
    <font>
      <sz val="9"/>
      <color theme="0"/>
      <name val="Calibri"/>
      <family val="2"/>
      <scheme val="minor"/>
    </font>
    <font>
      <sz val="9"/>
      <color indexed="81"/>
      <name val="Tahoma"/>
      <family val="2"/>
    </font>
    <font>
      <b/>
      <sz val="9"/>
      <color indexed="81"/>
      <name val="Tahoma"/>
      <family val="2"/>
    </font>
    <font>
      <sz val="11"/>
      <color theme="1"/>
      <name val="Calibri"/>
      <family val="2"/>
      <scheme val="minor"/>
    </font>
    <font>
      <b/>
      <sz val="10"/>
      <color theme="0"/>
      <name val="Calibri"/>
      <family val="2"/>
      <scheme val="minor"/>
    </font>
    <font>
      <b/>
      <sz val="9"/>
      <color theme="0"/>
      <name val="Calibri"/>
      <family val="2"/>
      <scheme val="minor"/>
    </font>
    <font>
      <i/>
      <sz val="9"/>
      <color theme="1"/>
      <name val="Calibri"/>
      <family val="2"/>
      <scheme val="minor"/>
    </font>
    <font>
      <sz val="9"/>
      <name val="Calibri"/>
      <family val="2"/>
      <scheme val="minor"/>
    </font>
    <font>
      <b/>
      <sz val="14"/>
      <color indexed="8"/>
      <name val="Calibri"/>
      <family val="2"/>
      <scheme val="minor"/>
    </font>
    <font>
      <sz val="16"/>
      <color theme="1"/>
      <name val="Calibri"/>
      <family val="2"/>
      <scheme val="minor"/>
    </font>
    <font>
      <b/>
      <sz val="16"/>
      <color theme="1"/>
      <name val="Calibri"/>
      <family val="2"/>
      <scheme val="minor"/>
    </font>
    <font>
      <b/>
      <sz val="12"/>
      <color indexed="8"/>
      <name val="Calibri"/>
      <family val="2"/>
      <scheme val="minor"/>
    </font>
    <font>
      <b/>
      <sz val="16"/>
      <color indexed="8"/>
      <name val="Calibri"/>
      <family val="2"/>
      <scheme val="minor"/>
    </font>
    <font>
      <i/>
      <sz val="12"/>
      <name val="Calibri"/>
      <family val="2"/>
      <scheme val="minor"/>
    </font>
    <font>
      <i/>
      <sz val="12"/>
      <color theme="1"/>
      <name val="Calibri"/>
      <family val="2"/>
      <scheme val="minor"/>
    </font>
    <font>
      <sz val="12"/>
      <color theme="0"/>
      <name val="Calibri"/>
      <family val="2"/>
      <scheme val="minor"/>
    </font>
    <font>
      <sz val="10"/>
      <color rgb="FFFF0000"/>
      <name val="Calibri"/>
      <family val="2"/>
      <scheme val="minor"/>
    </font>
    <font>
      <b/>
      <sz val="12"/>
      <color rgb="FFFF0000"/>
      <name val="Calibri"/>
      <family val="2"/>
      <scheme val="minor"/>
    </font>
    <font>
      <b/>
      <sz val="12"/>
      <color indexed="10"/>
      <name val="Calibri"/>
      <family val="2"/>
      <scheme val="minor"/>
    </font>
    <font>
      <sz val="12"/>
      <name val="Calibri"/>
      <family val="2"/>
      <scheme val="minor"/>
    </font>
    <font>
      <b/>
      <sz val="12"/>
      <color theme="1"/>
      <name val="Calibri"/>
      <family val="2"/>
      <scheme val="minor"/>
    </font>
    <font>
      <u/>
      <sz val="10"/>
      <name val="Calibri"/>
      <family val="2"/>
      <scheme val="minor"/>
    </font>
    <font>
      <b/>
      <u/>
      <sz val="10"/>
      <color theme="5" tint="-0.249977111117893"/>
      <name val="Calibri"/>
      <family val="2"/>
      <scheme val="minor"/>
    </font>
    <font>
      <u/>
      <sz val="10"/>
      <color theme="5" tint="-0.249977111117893"/>
      <name val="Calibri"/>
      <family val="2"/>
      <scheme val="minor"/>
    </font>
    <font>
      <b/>
      <sz val="14"/>
      <color theme="0"/>
      <name val="Calibri"/>
      <family val="2"/>
      <scheme val="minor"/>
    </font>
    <font>
      <b/>
      <sz val="18"/>
      <color theme="1"/>
      <name val="Calibri"/>
      <family val="2"/>
      <scheme val="minor"/>
    </font>
    <font>
      <b/>
      <sz val="16"/>
      <name val="Calibri"/>
      <family val="2"/>
      <scheme val="minor"/>
    </font>
    <font>
      <b/>
      <sz val="14"/>
      <color rgb="FFFF0000"/>
      <name val="Calibri"/>
      <family val="2"/>
      <scheme val="minor"/>
    </font>
    <font>
      <sz val="14"/>
      <color rgb="FFFF0000"/>
      <name val="Calibri"/>
      <family val="2"/>
      <scheme val="minor"/>
    </font>
    <font>
      <b/>
      <u/>
      <sz val="10"/>
      <color theme="9" tint="-0.499984740745262"/>
      <name val="Calibri"/>
      <family val="2"/>
      <scheme val="minor"/>
    </font>
    <font>
      <b/>
      <sz val="18"/>
      <color theme="0"/>
      <name val="Calibri"/>
      <family val="2"/>
      <scheme val="minor"/>
    </font>
    <font>
      <b/>
      <sz val="12"/>
      <color theme="0"/>
      <name val="Calibri"/>
      <family val="2"/>
      <scheme val="minor"/>
    </font>
    <font>
      <b/>
      <sz val="14"/>
      <name val="Calibri"/>
      <family val="2"/>
      <scheme val="minor"/>
    </font>
    <font>
      <b/>
      <sz val="11"/>
      <color theme="0"/>
      <name val="Calibri"/>
      <family val="2"/>
      <scheme val="minor"/>
    </font>
    <font>
      <sz val="14"/>
      <color theme="1"/>
      <name val="Calibri"/>
      <family val="2"/>
      <scheme val="minor"/>
    </font>
    <font>
      <b/>
      <sz val="16"/>
      <color theme="0"/>
      <name val="Calibri"/>
      <family val="2"/>
      <scheme val="minor"/>
    </font>
    <font>
      <b/>
      <u/>
      <sz val="12"/>
      <name val="Calibri"/>
      <family val="2"/>
      <scheme val="minor"/>
    </font>
    <font>
      <u/>
      <sz val="12"/>
      <name val="Calibri"/>
      <family val="2"/>
      <scheme val="minor"/>
    </font>
    <font>
      <b/>
      <sz val="18"/>
      <name val="Calibri"/>
      <family val="2"/>
      <scheme val="minor"/>
    </font>
    <font>
      <b/>
      <u/>
      <sz val="12"/>
      <color rgb="FF000000"/>
      <name val="Calibri"/>
      <family val="2"/>
    </font>
    <font>
      <sz val="12"/>
      <color rgb="FF000000"/>
      <name val="Calibri"/>
      <family val="2"/>
    </font>
    <font>
      <b/>
      <sz val="12"/>
      <color rgb="FF000000"/>
      <name val="Calibri"/>
      <family val="2"/>
    </font>
    <font>
      <i/>
      <sz val="12"/>
      <color rgb="FF000000"/>
      <name val="Calibri"/>
      <family val="2"/>
    </font>
    <font>
      <sz val="12"/>
      <color rgb="FF000000"/>
      <name val="Calibri"/>
      <family val="2"/>
    </font>
    <font>
      <b/>
      <sz val="8"/>
      <color theme="0"/>
      <name val="Calibri"/>
      <family val="2"/>
      <scheme val="minor"/>
    </font>
  </fonts>
  <fills count="20">
    <fill>
      <patternFill patternType="none"/>
    </fill>
    <fill>
      <patternFill patternType="gray125"/>
    </fill>
    <fill>
      <patternFill patternType="solid">
        <fgColor rgb="FFFF0000"/>
        <bgColor indexed="64"/>
      </patternFill>
    </fill>
    <fill>
      <patternFill patternType="solid">
        <fgColor rgb="FFFFFF99"/>
        <bgColor indexed="64"/>
      </patternFill>
    </fill>
    <fill>
      <patternFill patternType="solid">
        <fgColor rgb="FFFF66FF"/>
        <bgColor indexed="64"/>
      </patternFill>
    </fill>
    <fill>
      <patternFill patternType="solid">
        <fgColor rgb="FFFFCCFF"/>
        <bgColor indexed="64"/>
      </patternFill>
    </fill>
    <fill>
      <patternFill patternType="solid">
        <fgColor theme="0"/>
        <bgColor indexed="64"/>
      </patternFill>
    </fill>
    <fill>
      <patternFill patternType="solid">
        <fgColor rgb="FF87005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34998626667073579"/>
        <bgColor indexed="64"/>
      </patternFill>
    </fill>
    <fill>
      <patternFill patternType="gray0625">
        <bgColor rgb="FF7030A0"/>
      </patternFill>
    </fill>
    <fill>
      <patternFill patternType="gray0625">
        <bgColor rgb="FFFF0000"/>
      </patternFill>
    </fill>
    <fill>
      <patternFill patternType="solid">
        <fgColor theme="1" tint="0.34998626667073579"/>
        <bgColor indexed="64"/>
      </patternFill>
    </fill>
    <fill>
      <patternFill patternType="solid">
        <fgColor theme="0" tint="-0.249977111117893"/>
        <bgColor indexed="64"/>
      </patternFill>
    </fill>
    <fill>
      <patternFill patternType="solid">
        <fgColor theme="4" tint="0.79998168889431442"/>
        <bgColor theme="4" tint="0.79998168889431442"/>
      </patternFill>
    </fill>
    <fill>
      <patternFill patternType="solid">
        <fgColor theme="5" tint="0.79998168889431442"/>
        <bgColor indexed="64"/>
      </patternFill>
    </fill>
    <fill>
      <patternFill patternType="solid">
        <fgColor rgb="FF92D050"/>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ck">
        <color theme="0"/>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style="thick">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right style="thin">
        <color theme="0"/>
      </right>
      <top/>
      <bottom style="thin">
        <color theme="0"/>
      </bottom>
      <diagonal/>
    </border>
    <border>
      <left/>
      <right/>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theme="0"/>
      </left>
      <right style="thin">
        <color theme="0"/>
      </right>
      <top style="thin">
        <color theme="0"/>
      </top>
      <bottom/>
      <diagonal/>
    </border>
    <border>
      <left style="thin">
        <color indexed="64"/>
      </left>
      <right style="thin">
        <color indexed="64"/>
      </right>
      <top/>
      <bottom/>
      <diagonal/>
    </border>
  </borders>
  <cellStyleXfs count="3">
    <xf numFmtId="0" fontId="0" fillId="0" borderId="0"/>
    <xf numFmtId="9" fontId="28" fillId="0" borderId="0" applyFont="0" applyFill="0" applyBorder="0" applyAlignment="0" applyProtection="0"/>
    <xf numFmtId="43" fontId="28" fillId="0" borderId="0" applyFont="0" applyFill="0" applyBorder="0" applyAlignment="0" applyProtection="0"/>
  </cellStyleXfs>
  <cellXfs count="317">
    <xf numFmtId="0" fontId="0" fillId="0" borderId="0" xfId="0"/>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horizontal="left"/>
    </xf>
    <xf numFmtId="0" fontId="0" fillId="0" borderId="0" xfId="0" applyAlignment="1">
      <alignment horizontal="left"/>
    </xf>
    <xf numFmtId="0" fontId="15" fillId="0" borderId="0" xfId="0" applyFont="1" applyAlignment="1">
      <alignment horizontal="left"/>
    </xf>
    <xf numFmtId="0" fontId="15" fillId="0" borderId="0" xfId="0" applyFont="1"/>
    <xf numFmtId="0" fontId="16" fillId="0" borderId="0" xfId="0" applyFont="1"/>
    <xf numFmtId="0" fontId="19" fillId="0" borderId="5" xfId="0" applyFont="1" applyBorder="1"/>
    <xf numFmtId="0" fontId="22" fillId="0" borderId="0" xfId="0" applyFont="1"/>
    <xf numFmtId="0" fontId="18" fillId="0" borderId="0" xfId="0" applyFont="1"/>
    <xf numFmtId="0" fontId="11" fillId="0" borderId="0" xfId="0" applyFont="1"/>
    <xf numFmtId="164" fontId="0" fillId="0" borderId="0" xfId="0" quotePrefix="1" applyNumberFormat="1" applyAlignment="1">
      <alignment horizontal="left"/>
    </xf>
    <xf numFmtId="0" fontId="0" fillId="0" borderId="0" xfId="0" quotePrefix="1"/>
    <xf numFmtId="165" fontId="0" fillId="0" borderId="0" xfId="0" quotePrefix="1" applyNumberFormat="1" applyAlignment="1">
      <alignment horizontal="left"/>
    </xf>
    <xf numFmtId="0" fontId="0" fillId="0" borderId="0" xfId="0" quotePrefix="1" applyAlignment="1">
      <alignment horizontal="left"/>
    </xf>
    <xf numFmtId="0" fontId="23" fillId="0" borderId="0" xfId="0" applyFont="1"/>
    <xf numFmtId="0" fontId="0" fillId="0" borderId="0" xfId="0" quotePrefix="1" applyAlignment="1">
      <alignment horizontal="right"/>
    </xf>
    <xf numFmtId="0" fontId="0" fillId="0" borderId="0" xfId="0" applyAlignment="1">
      <alignment horizontal="right"/>
    </xf>
    <xf numFmtId="14" fontId="23" fillId="0" borderId="0" xfId="0" applyNumberFormat="1" applyFont="1" applyAlignment="1">
      <alignment horizontal="right"/>
    </xf>
    <xf numFmtId="0" fontId="23" fillId="0" borderId="0" xfId="0" applyFont="1" applyAlignment="1">
      <alignment horizontal="right"/>
    </xf>
    <xf numFmtId="0" fontId="23" fillId="0" borderId="0" xfId="0" quotePrefix="1" applyFont="1"/>
    <xf numFmtId="14" fontId="0" fillId="0" borderId="0" xfId="0" applyNumberFormat="1" applyAlignment="1">
      <alignment horizontal="right"/>
    </xf>
    <xf numFmtId="0" fontId="22" fillId="0" borderId="13" xfId="0" applyFont="1" applyBorder="1"/>
    <xf numFmtId="0" fontId="23" fillId="0" borderId="15" xfId="0" applyFont="1" applyBorder="1"/>
    <xf numFmtId="0" fontId="23" fillId="5" borderId="16" xfId="0" applyFont="1" applyFill="1" applyBorder="1" applyAlignment="1">
      <alignment horizontal="center"/>
    </xf>
    <xf numFmtId="0" fontId="23" fillId="5" borderId="14" xfId="0" applyFont="1" applyFill="1" applyBorder="1" applyAlignment="1">
      <alignment horizontal="center"/>
    </xf>
    <xf numFmtId="0" fontId="23" fillId="0" borderId="18" xfId="0" applyFont="1" applyBorder="1"/>
    <xf numFmtId="0" fontId="23" fillId="0" borderId="17" xfId="0" applyFont="1" applyBorder="1"/>
    <xf numFmtId="0" fontId="23" fillId="4" borderId="19" xfId="0" applyFont="1" applyFill="1" applyBorder="1" applyAlignment="1">
      <alignment horizontal="center"/>
    </xf>
    <xf numFmtId="16" fontId="23" fillId="0" borderId="0" xfId="0" quotePrefix="1" applyNumberFormat="1" applyFont="1"/>
    <xf numFmtId="0" fontId="19" fillId="0" borderId="5" xfId="0" applyFont="1" applyBorder="1" applyAlignment="1">
      <alignment horizontal="right"/>
    </xf>
    <xf numFmtId="9" fontId="8" fillId="0" borderId="0" xfId="1" applyFont="1" applyAlignment="1" applyProtection="1">
      <alignment vertical="center"/>
    </xf>
    <xf numFmtId="0" fontId="6" fillId="0" borderId="0" xfId="0" applyFont="1"/>
    <xf numFmtId="0" fontId="21" fillId="0" borderId="9" xfId="0" applyFont="1" applyBorder="1" applyAlignment="1">
      <alignment wrapText="1"/>
    </xf>
    <xf numFmtId="0" fontId="23" fillId="4" borderId="15" xfId="0" applyFont="1" applyFill="1" applyBorder="1" applyAlignment="1">
      <alignment horizontal="center"/>
    </xf>
    <xf numFmtId="0" fontId="19" fillId="0" borderId="0" xfId="0" applyFont="1"/>
    <xf numFmtId="0" fontId="7" fillId="0" borderId="0" xfId="0" applyFont="1" applyAlignment="1">
      <alignment horizontal="center" vertical="center" wrapText="1"/>
    </xf>
    <xf numFmtId="0" fontId="15" fillId="0" borderId="0" xfId="0" applyFont="1" applyAlignment="1">
      <alignment horizontal="center" wrapText="1"/>
    </xf>
    <xf numFmtId="0" fontId="14" fillId="0" borderId="0" xfId="0" applyFont="1" applyAlignment="1">
      <alignment horizontal="left"/>
    </xf>
    <xf numFmtId="0" fontId="1" fillId="0" borderId="0" xfId="0" applyFont="1"/>
    <xf numFmtId="0" fontId="29" fillId="0" borderId="9" xfId="0" applyFont="1" applyBorder="1"/>
    <xf numFmtId="0" fontId="29" fillId="0" borderId="0" xfId="0" applyFont="1"/>
    <xf numFmtId="0" fontId="25" fillId="0" borderId="0" xfId="0" applyFont="1"/>
    <xf numFmtId="0" fontId="30" fillId="0" borderId="0" xfId="0" applyFont="1" applyAlignment="1">
      <alignment horizontal="left"/>
    </xf>
    <xf numFmtId="0" fontId="12" fillId="0" borderId="0" xfId="0" applyFont="1" applyAlignment="1">
      <alignment horizontal="left"/>
    </xf>
    <xf numFmtId="0" fontId="11" fillId="0" borderId="11" xfId="0" applyFont="1" applyBorder="1"/>
    <xf numFmtId="0" fontId="12" fillId="0" borderId="11" xfId="0" applyFont="1" applyBorder="1"/>
    <xf numFmtId="0" fontId="31" fillId="0" borderId="0" xfId="0" applyFont="1"/>
    <xf numFmtId="9" fontId="11" fillId="0" borderId="0" xfId="1" applyFont="1" applyBorder="1" applyProtection="1"/>
    <xf numFmtId="0" fontId="11" fillId="0" borderId="0" xfId="0" applyFont="1" applyAlignment="1">
      <alignment horizontal="left"/>
    </xf>
    <xf numFmtId="0" fontId="11" fillId="0" borderId="20" xfId="0" applyFont="1" applyBorder="1"/>
    <xf numFmtId="0" fontId="12" fillId="0" borderId="0" xfId="0" applyFont="1" applyAlignment="1">
      <alignment horizontal="right"/>
    </xf>
    <xf numFmtId="0" fontId="25" fillId="0" borderId="0" xfId="0" applyFont="1" applyAlignment="1">
      <alignment horizontal="left"/>
    </xf>
    <xf numFmtId="0" fontId="33" fillId="0" borderId="0" xfId="0" applyFont="1" applyAlignment="1">
      <alignment horizontal="left"/>
    </xf>
    <xf numFmtId="0" fontId="19" fillId="0" borderId="5" xfId="0" applyFont="1" applyBorder="1" applyAlignment="1">
      <alignment vertical="center" wrapText="1"/>
    </xf>
    <xf numFmtId="0" fontId="1" fillId="0" borderId="5" xfId="0" applyFont="1" applyBorder="1"/>
    <xf numFmtId="0" fontId="0" fillId="0" borderId="5" xfId="0" applyBorder="1"/>
    <xf numFmtId="0" fontId="1" fillId="0" borderId="5" xfId="0" applyFont="1" applyBorder="1" applyAlignment="1">
      <alignment vertical="center" wrapText="1"/>
    </xf>
    <xf numFmtId="0" fontId="1" fillId="0" borderId="5" xfId="0" applyFont="1" applyBorder="1" applyAlignment="1">
      <alignment horizontal="right"/>
    </xf>
    <xf numFmtId="0" fontId="32" fillId="0" borderId="0" xfId="0" applyFont="1" applyAlignment="1">
      <alignment horizontal="left"/>
    </xf>
    <xf numFmtId="0" fontId="11" fillId="0" borderId="0" xfId="0" applyFont="1" applyAlignment="1">
      <alignment horizontal="center" vertical="top"/>
    </xf>
    <xf numFmtId="0" fontId="11" fillId="0" borderId="0" xfId="0" applyFont="1" applyAlignment="1">
      <alignment horizontal="center"/>
    </xf>
    <xf numFmtId="0" fontId="7" fillId="0" borderId="0" xfId="0" quotePrefix="1" applyFont="1" applyAlignment="1">
      <alignment horizontal="left" vertical="center"/>
    </xf>
    <xf numFmtId="0" fontId="0" fillId="0" borderId="0" xfId="0" applyAlignment="1">
      <alignment vertical="center"/>
    </xf>
    <xf numFmtId="0" fontId="22" fillId="0" borderId="0" xfId="0" applyFont="1" applyAlignment="1">
      <alignment vertical="center"/>
    </xf>
    <xf numFmtId="0" fontId="35" fillId="0" borderId="3" xfId="0" applyFont="1" applyBorder="1" applyAlignment="1">
      <alignment vertical="center"/>
    </xf>
    <xf numFmtId="0" fontId="35" fillId="0" borderId="2" xfId="0" applyFont="1" applyBorder="1" applyAlignment="1">
      <alignment vertical="center"/>
    </xf>
    <xf numFmtId="166" fontId="34" fillId="0" borderId="1" xfId="0" applyNumberFormat="1" applyFont="1" applyBorder="1" applyAlignment="1">
      <alignment horizontal="center" vertical="center"/>
    </xf>
    <xf numFmtId="167" fontId="1" fillId="3" borderId="1" xfId="0" applyNumberFormat="1" applyFont="1" applyFill="1" applyBorder="1" applyAlignment="1" applyProtection="1">
      <alignment horizontal="center" vertical="center"/>
      <protection locked="0"/>
    </xf>
    <xf numFmtId="167" fontId="1" fillId="0" borderId="1" xfId="0" applyNumberFormat="1" applyFont="1" applyBorder="1" applyAlignment="1">
      <alignment vertical="center"/>
    </xf>
    <xf numFmtId="167" fontId="1" fillId="0" borderId="0" xfId="0" applyNumberFormat="1" applyFont="1" applyAlignment="1">
      <alignment horizontal="center" vertical="center"/>
    </xf>
    <xf numFmtId="167" fontId="1" fillId="0" borderId="0" xfId="0" applyNumberFormat="1" applyFont="1" applyAlignment="1">
      <alignment vertical="center"/>
    </xf>
    <xf numFmtId="167" fontId="1" fillId="0" borderId="2" xfId="0" applyNumberFormat="1" applyFont="1" applyBorder="1" applyAlignment="1">
      <alignment horizontal="center" vertical="center"/>
    </xf>
    <xf numFmtId="167" fontId="6" fillId="0" borderId="1" xfId="0" applyNumberFormat="1" applyFont="1" applyBorder="1" applyAlignment="1">
      <alignment vertical="center"/>
    </xf>
    <xf numFmtId="0" fontId="37" fillId="0" borderId="0" xfId="0" applyFont="1" applyAlignment="1">
      <alignment horizontal="left" vertical="center"/>
    </xf>
    <xf numFmtId="0" fontId="1" fillId="0" borderId="0" xfId="0" applyFont="1" applyAlignment="1">
      <alignment vertical="center"/>
    </xf>
    <xf numFmtId="0" fontId="36" fillId="0" borderId="0" xfId="0" applyFont="1" applyAlignment="1">
      <alignment horizontal="right" vertical="center"/>
    </xf>
    <xf numFmtId="0" fontId="15" fillId="0" borderId="0" xfId="0" applyFont="1" applyAlignment="1">
      <alignment vertical="center"/>
    </xf>
    <xf numFmtId="0" fontId="1" fillId="0" borderId="9" xfId="0" applyFont="1" applyBorder="1"/>
    <xf numFmtId="0" fontId="38" fillId="0" borderId="0" xfId="0" applyFont="1" applyAlignment="1">
      <alignment horizontal="left"/>
    </xf>
    <xf numFmtId="0" fontId="39" fillId="0" borderId="0" xfId="0" applyFont="1"/>
    <xf numFmtId="0" fontId="40" fillId="0" borderId="0" xfId="0" applyFont="1" applyAlignment="1">
      <alignment horizontal="left"/>
    </xf>
    <xf numFmtId="0" fontId="40" fillId="0" borderId="0" xfId="0" applyFont="1"/>
    <xf numFmtId="0" fontId="15" fillId="0" borderId="20" xfId="0" applyFont="1" applyBorder="1"/>
    <xf numFmtId="0" fontId="15" fillId="0" borderId="9" xfId="0" applyFont="1" applyBorder="1"/>
    <xf numFmtId="0" fontId="15" fillId="0" borderId="11" xfId="0" applyFont="1" applyBorder="1"/>
    <xf numFmtId="0" fontId="40" fillId="0" borderId="20" xfId="0" applyFont="1" applyBorder="1"/>
    <xf numFmtId="10" fontId="1" fillId="0" borderId="1" xfId="0" applyNumberFormat="1" applyFont="1" applyBorder="1" applyAlignment="1">
      <alignment vertical="center"/>
    </xf>
    <xf numFmtId="0" fontId="6" fillId="0" borderId="0" xfId="0" applyFont="1" applyAlignment="1">
      <alignment vertical="center"/>
    </xf>
    <xf numFmtId="0" fontId="24" fillId="0" borderId="9" xfId="0" applyFont="1" applyBorder="1" applyAlignment="1">
      <alignment horizontal="center"/>
    </xf>
    <xf numFmtId="0" fontId="0" fillId="0" borderId="9" xfId="0" applyBorder="1"/>
    <xf numFmtId="0" fontId="13" fillId="0" borderId="0" xfId="0" applyFont="1" applyAlignment="1">
      <alignment horizontal="left"/>
    </xf>
    <xf numFmtId="0" fontId="17" fillId="0" borderId="0" xfId="0" applyFont="1"/>
    <xf numFmtId="0" fontId="13" fillId="0" borderId="0" xfId="0" applyFont="1" applyAlignment="1">
      <alignment horizontal="center"/>
    </xf>
    <xf numFmtId="9" fontId="11" fillId="0" borderId="0" xfId="1" applyFont="1" applyProtection="1"/>
    <xf numFmtId="0" fontId="14" fillId="0" borderId="0" xfId="0" applyFont="1" applyAlignment="1">
      <alignment horizontal="left" vertical="center"/>
    </xf>
    <xf numFmtId="0" fontId="10" fillId="0" borderId="0" xfId="0" applyFont="1" applyAlignment="1">
      <alignment horizontal="left" vertical="center"/>
    </xf>
    <xf numFmtId="0" fontId="1" fillId="0" borderId="0" xfId="0" applyFont="1" applyAlignment="1">
      <alignment horizontal="left" vertical="center"/>
    </xf>
    <xf numFmtId="9" fontId="1" fillId="0" borderId="0" xfId="1" applyFont="1" applyAlignment="1" applyProtection="1">
      <alignment vertical="center"/>
    </xf>
    <xf numFmtId="0" fontId="1" fillId="0" borderId="0" xfId="0" applyFont="1" applyAlignment="1">
      <alignment vertical="center" wrapText="1"/>
    </xf>
    <xf numFmtId="0" fontId="10" fillId="8" borderId="1" xfId="0" applyFont="1" applyFill="1" applyBorder="1" applyAlignment="1" applyProtection="1">
      <alignment horizontal="left" vertical="center"/>
      <protection locked="0"/>
    </xf>
    <xf numFmtId="0" fontId="10" fillId="6" borderId="0" xfId="0" applyFont="1" applyFill="1" applyAlignment="1">
      <alignment horizontal="center" vertical="center"/>
    </xf>
    <xf numFmtId="0" fontId="10" fillId="0" borderId="0" xfId="0" applyFont="1" applyAlignment="1">
      <alignment horizontal="center" vertical="center"/>
    </xf>
    <xf numFmtId="0" fontId="19" fillId="0" borderId="0" xfId="0" applyFont="1" applyAlignment="1">
      <alignment vertical="center"/>
    </xf>
    <xf numFmtId="0" fontId="10" fillId="0" borderId="0" xfId="0" applyFont="1" applyAlignment="1">
      <alignment vertical="center" wrapText="1"/>
    </xf>
    <xf numFmtId="0" fontId="41" fillId="0" borderId="0" xfId="0" applyFont="1" applyAlignment="1">
      <alignment vertical="center"/>
    </xf>
    <xf numFmtId="0" fontId="20" fillId="0" borderId="0" xfId="0" applyFont="1"/>
    <xf numFmtId="0" fontId="23" fillId="2" borderId="0" xfId="0" applyFont="1" applyFill="1" applyAlignment="1">
      <alignment horizontal="center"/>
    </xf>
    <xf numFmtId="0" fontId="45" fillId="0" borderId="0" xfId="0" applyFont="1"/>
    <xf numFmtId="0" fontId="10" fillId="0" borderId="11" xfId="0" applyFont="1" applyBorder="1" applyAlignment="1" applyProtection="1">
      <alignment horizontal="left" vertical="center"/>
      <protection locked="0"/>
    </xf>
    <xf numFmtId="9" fontId="1" fillId="0" borderId="0" xfId="1" applyFont="1" applyFill="1" applyBorder="1" applyAlignment="1" applyProtection="1">
      <alignment vertical="center"/>
    </xf>
    <xf numFmtId="0" fontId="0" fillId="9" borderId="0" xfId="0" applyFill="1"/>
    <xf numFmtId="2" fontId="1" fillId="3" borderId="1" xfId="0" applyNumberFormat="1" applyFont="1" applyFill="1" applyBorder="1"/>
    <xf numFmtId="2" fontId="1" fillId="0" borderId="1" xfId="0" applyNumberFormat="1" applyFont="1" applyBorder="1"/>
    <xf numFmtId="10" fontId="1" fillId="0" borderId="1" xfId="1" applyNumberFormat="1" applyFont="1" applyBorder="1" applyProtection="1"/>
    <xf numFmtId="2" fontId="1" fillId="3" borderId="2" xfId="0" applyNumberFormat="1" applyFont="1" applyFill="1" applyBorder="1"/>
    <xf numFmtId="0" fontId="24" fillId="0" borderId="0" xfId="0" applyFont="1"/>
    <xf numFmtId="2" fontId="1" fillId="0" borderId="0" xfId="0" applyNumberFormat="1" applyFont="1"/>
    <xf numFmtId="2" fontId="1" fillId="0" borderId="2" xfId="0" applyNumberFormat="1" applyFont="1" applyBorder="1"/>
    <xf numFmtId="2" fontId="6" fillId="0" borderId="1" xfId="0" applyNumberFormat="1" applyFont="1" applyBorder="1"/>
    <xf numFmtId="0" fontId="29" fillId="0" borderId="0" xfId="0" applyFont="1" applyAlignment="1">
      <alignment horizontal="left"/>
    </xf>
    <xf numFmtId="0" fontId="6" fillId="0" borderId="0" xfId="0" applyFont="1" applyAlignment="1">
      <alignment horizontal="left"/>
    </xf>
    <xf numFmtId="2" fontId="6" fillId="0" borderId="11" xfId="0" applyNumberFormat="1" applyFont="1" applyBorder="1"/>
    <xf numFmtId="10" fontId="1" fillId="0" borderId="2" xfId="1" applyNumberFormat="1" applyFont="1" applyBorder="1" applyAlignment="1" applyProtection="1"/>
    <xf numFmtId="2" fontId="6" fillId="0" borderId="4" xfId="0" applyNumberFormat="1" applyFont="1" applyBorder="1"/>
    <xf numFmtId="0" fontId="49" fillId="7" borderId="3" xfId="0" applyFont="1" applyFill="1" applyBorder="1" applyAlignment="1">
      <alignment vertical="center"/>
    </xf>
    <xf numFmtId="0" fontId="29" fillId="7" borderId="2" xfId="0" applyFont="1" applyFill="1" applyBorder="1" applyAlignment="1">
      <alignment vertical="center"/>
    </xf>
    <xf numFmtId="0" fontId="29" fillId="7" borderId="1" xfId="0" applyFont="1" applyFill="1" applyBorder="1" applyAlignment="1">
      <alignment horizontal="center" vertical="center"/>
    </xf>
    <xf numFmtId="0" fontId="50" fillId="0" borderId="0" xfId="0" applyFont="1" applyAlignment="1">
      <alignment vertical="center"/>
    </xf>
    <xf numFmtId="0" fontId="42" fillId="0" borderId="0" xfId="0" applyFont="1" applyAlignment="1">
      <alignment vertical="center"/>
    </xf>
    <xf numFmtId="0" fontId="14" fillId="0" borderId="0" xfId="0" applyFont="1" applyAlignment="1">
      <alignment horizontal="right" vertical="center"/>
    </xf>
    <xf numFmtId="0" fontId="0" fillId="0" borderId="0" xfId="0" applyAlignment="1">
      <alignment horizontal="center"/>
    </xf>
    <xf numFmtId="0" fontId="0" fillId="0" borderId="1" xfId="0" applyBorder="1" applyProtection="1">
      <protection locked="0"/>
    </xf>
    <xf numFmtId="0" fontId="0" fillId="0" borderId="1" xfId="0" applyBorder="1" applyAlignment="1" applyProtection="1">
      <alignment horizontal="center"/>
      <protection locked="0"/>
    </xf>
    <xf numFmtId="167" fontId="1" fillId="3" borderId="2" xfId="0" applyNumberFormat="1" applyFont="1" applyFill="1" applyBorder="1" applyAlignment="1">
      <alignment horizontal="center" vertical="center"/>
    </xf>
    <xf numFmtId="167" fontId="1" fillId="3" borderId="1" xfId="0" applyNumberFormat="1" applyFont="1" applyFill="1" applyBorder="1" applyAlignment="1">
      <alignment horizontal="center" vertical="center"/>
    </xf>
    <xf numFmtId="44" fontId="29" fillId="7" borderId="1" xfId="0" applyNumberFormat="1" applyFont="1" applyFill="1" applyBorder="1" applyAlignment="1">
      <alignment horizontal="center" vertical="center"/>
    </xf>
    <xf numFmtId="0" fontId="0" fillId="3" borderId="4" xfId="0" applyFill="1" applyBorder="1" applyAlignment="1">
      <alignment horizontal="center"/>
    </xf>
    <xf numFmtId="0" fontId="58" fillId="12" borderId="5" xfId="0" applyFont="1" applyFill="1" applyBorder="1" applyAlignment="1">
      <alignment vertical="center"/>
    </xf>
    <xf numFmtId="0" fontId="0" fillId="3" borderId="10" xfId="0" applyFill="1" applyBorder="1" applyAlignment="1">
      <alignment horizontal="center"/>
    </xf>
    <xf numFmtId="0" fontId="58" fillId="13" borderId="12" xfId="0" applyFont="1" applyFill="1" applyBorder="1" applyAlignment="1">
      <alignment vertical="center"/>
    </xf>
    <xf numFmtId="0" fontId="19" fillId="0" borderId="0" xfId="0" applyFont="1" applyAlignment="1">
      <alignment vertical="center" wrapText="1"/>
    </xf>
    <xf numFmtId="0" fontId="19" fillId="0" borderId="0" xfId="0" applyFont="1" applyAlignment="1">
      <alignment horizontal="right"/>
    </xf>
    <xf numFmtId="0" fontId="35" fillId="14" borderId="8" xfId="0" applyFont="1" applyFill="1" applyBorder="1" applyAlignment="1">
      <alignment horizontal="left"/>
    </xf>
    <xf numFmtId="0" fontId="60" fillId="14" borderId="8" xfId="0" applyFont="1" applyFill="1" applyBorder="1" applyAlignment="1">
      <alignment horizontal="left" vertical="center"/>
    </xf>
    <xf numFmtId="0" fontId="0" fillId="14" borderId="8" xfId="0" applyFill="1" applyBorder="1" applyAlignment="1">
      <alignment horizontal="left"/>
    </xf>
    <xf numFmtId="0" fontId="11" fillId="14" borderId="8" xfId="0" applyFont="1" applyFill="1" applyBorder="1"/>
    <xf numFmtId="9" fontId="11" fillId="14" borderId="8" xfId="1" applyFont="1" applyFill="1" applyBorder="1" applyProtection="1"/>
    <xf numFmtId="0" fontId="51" fillId="0" borderId="0" xfId="0" applyFont="1" applyAlignment="1">
      <alignment horizontal="left" vertical="center"/>
    </xf>
    <xf numFmtId="0" fontId="43" fillId="0" borderId="0" xfId="0" applyFont="1" applyAlignment="1">
      <alignment vertical="center"/>
    </xf>
    <xf numFmtId="0" fontId="0" fillId="16" borderId="32" xfId="0" applyFill="1" applyBorder="1"/>
    <xf numFmtId="16" fontId="0" fillId="0" borderId="0" xfId="0" quotePrefix="1" applyNumberFormat="1"/>
    <xf numFmtId="0" fontId="12" fillId="0" borderId="0" xfId="0" applyFont="1"/>
    <xf numFmtId="0" fontId="6" fillId="0" borderId="1" xfId="0" applyFont="1" applyBorder="1" applyAlignment="1">
      <alignment horizontal="center" vertical="center" wrapText="1"/>
    </xf>
    <xf numFmtId="167" fontId="1" fillId="17" borderId="1" xfId="0" applyNumberFormat="1" applyFont="1" applyFill="1" applyBorder="1" applyAlignment="1" applyProtection="1">
      <alignment horizontal="center" vertical="center"/>
      <protection locked="0"/>
    </xf>
    <xf numFmtId="167" fontId="1" fillId="17" borderId="1" xfId="0" applyNumberFormat="1" applyFont="1" applyFill="1" applyBorder="1" applyAlignment="1">
      <alignment vertical="center"/>
    </xf>
    <xf numFmtId="10" fontId="1" fillId="17" borderId="1" xfId="0" applyNumberFormat="1" applyFont="1" applyFill="1" applyBorder="1" applyAlignment="1">
      <alignment vertical="center"/>
    </xf>
    <xf numFmtId="0" fontId="3" fillId="17" borderId="3" xfId="0" applyFont="1" applyFill="1" applyBorder="1" applyAlignment="1">
      <alignment vertical="center"/>
    </xf>
    <xf numFmtId="0" fontId="0" fillId="17" borderId="2" xfId="0" applyFill="1" applyBorder="1" applyAlignment="1">
      <alignment vertical="center"/>
    </xf>
    <xf numFmtId="2" fontId="1" fillId="0" borderId="1" xfId="0" applyNumberFormat="1" applyFont="1" applyBorder="1" applyAlignment="1">
      <alignment vertical="center"/>
    </xf>
    <xf numFmtId="2" fontId="1" fillId="17" borderId="1" xfId="0" applyNumberFormat="1" applyFont="1" applyFill="1" applyBorder="1" applyAlignment="1">
      <alignment vertical="center"/>
    </xf>
    <xf numFmtId="2" fontId="6" fillId="0" borderId="1" xfId="0" applyNumberFormat="1" applyFont="1" applyBorder="1" applyAlignment="1">
      <alignment vertical="center"/>
    </xf>
    <xf numFmtId="0" fontId="3" fillId="0" borderId="1" xfId="0" applyFont="1" applyBorder="1" applyAlignment="1">
      <alignment horizontal="center" vertical="center" wrapText="1"/>
    </xf>
    <xf numFmtId="44" fontId="29" fillId="7" borderId="33" xfId="0" applyNumberFormat="1" applyFont="1" applyFill="1" applyBorder="1" applyAlignment="1">
      <alignment horizontal="center" vertical="center"/>
    </xf>
    <xf numFmtId="2" fontId="0" fillId="0" borderId="1" xfId="0" applyNumberFormat="1" applyBorder="1"/>
    <xf numFmtId="2" fontId="0" fillId="0" borderId="0" xfId="0" applyNumberFormat="1" applyAlignment="1">
      <alignment vertical="center"/>
    </xf>
    <xf numFmtId="2" fontId="1" fillId="0" borderId="0" xfId="0" applyNumberFormat="1" applyFont="1" applyAlignment="1">
      <alignment vertical="center"/>
    </xf>
    <xf numFmtId="2" fontId="1" fillId="0" borderId="3" xfId="0" applyNumberFormat="1" applyFont="1" applyBorder="1" applyAlignment="1">
      <alignment vertical="center"/>
    </xf>
    <xf numFmtId="2" fontId="11" fillId="0" borderId="0" xfId="0" applyNumberFormat="1" applyFont="1"/>
    <xf numFmtId="0" fontId="44" fillId="0" borderId="0" xfId="0" applyFont="1" applyAlignment="1">
      <alignment vertical="top" wrapText="1"/>
    </xf>
    <xf numFmtId="0" fontId="0" fillId="6" borderId="0" xfId="0" applyFill="1"/>
    <xf numFmtId="2" fontId="10" fillId="17" borderId="1" xfId="0" applyNumberFormat="1" applyFont="1" applyFill="1" applyBorder="1"/>
    <xf numFmtId="2" fontId="23" fillId="17" borderId="1" xfId="0" applyNumberFormat="1" applyFont="1" applyFill="1" applyBorder="1"/>
    <xf numFmtId="10" fontId="10" fillId="17" borderId="1" xfId="1" applyNumberFormat="1" applyFont="1" applyFill="1" applyBorder="1"/>
    <xf numFmtId="0" fontId="44" fillId="0" borderId="0" xfId="0" applyFont="1" applyAlignment="1" applyProtection="1">
      <alignment vertical="center"/>
      <protection locked="0"/>
    </xf>
    <xf numFmtId="0" fontId="44" fillId="0" borderId="0" xfId="0" applyFont="1" applyAlignment="1" applyProtection="1">
      <alignment horizontal="left" vertical="center"/>
      <protection locked="0"/>
    </xf>
    <xf numFmtId="0" fontId="14" fillId="0" borderId="0" xfId="0" applyFont="1" applyAlignment="1">
      <alignment horizontal="right"/>
    </xf>
    <xf numFmtId="9" fontId="11" fillId="0" borderId="0" xfId="1" applyFont="1" applyFill="1" applyBorder="1" applyProtection="1"/>
    <xf numFmtId="43" fontId="15" fillId="0" borderId="0" xfId="2" applyFont="1" applyAlignment="1">
      <alignment horizontal="left"/>
    </xf>
    <xf numFmtId="43" fontId="15" fillId="0" borderId="0" xfId="2" applyFont="1"/>
    <xf numFmtId="43" fontId="11" fillId="0" borderId="0" xfId="2" applyFont="1"/>
    <xf numFmtId="43" fontId="11" fillId="0" borderId="0" xfId="2" applyFont="1" applyAlignment="1">
      <alignment horizontal="left"/>
    </xf>
    <xf numFmtId="43" fontId="0" fillId="0" borderId="0" xfId="2" applyFont="1"/>
    <xf numFmtId="0" fontId="68" fillId="0" borderId="0" xfId="0" applyFont="1"/>
    <xf numFmtId="16" fontId="0" fillId="0" borderId="0" xfId="0" quotePrefix="1" applyNumberFormat="1" applyAlignment="1">
      <alignment horizontal="left"/>
    </xf>
    <xf numFmtId="49" fontId="0" fillId="0" borderId="0" xfId="0" applyNumberFormat="1"/>
    <xf numFmtId="0" fontId="44" fillId="18" borderId="1" xfId="0" applyFont="1" applyFill="1" applyBorder="1" applyAlignment="1" applyProtection="1">
      <alignment vertical="center"/>
      <protection locked="0"/>
    </xf>
    <xf numFmtId="0" fontId="10" fillId="18" borderId="1" xfId="0" applyFont="1" applyFill="1" applyBorder="1" applyAlignment="1" applyProtection="1">
      <alignment horizontal="left" vertical="center"/>
      <protection locked="0"/>
    </xf>
    <xf numFmtId="0" fontId="1" fillId="18" borderId="0" xfId="0" applyFont="1" applyFill="1" applyAlignment="1">
      <alignment vertical="center"/>
    </xf>
    <xf numFmtId="0" fontId="15" fillId="18" borderId="0" xfId="0" applyFont="1" applyFill="1" applyAlignment="1">
      <alignment vertical="center"/>
    </xf>
    <xf numFmtId="0" fontId="1" fillId="18" borderId="0" xfId="0" applyFont="1" applyFill="1"/>
    <xf numFmtId="0" fontId="15" fillId="18" borderId="11" xfId="0" applyFont="1" applyFill="1" applyBorder="1"/>
    <xf numFmtId="0" fontId="15" fillId="18" borderId="0" xfId="0" applyFont="1" applyFill="1" applyAlignment="1">
      <alignment horizontal="left"/>
    </xf>
    <xf numFmtId="0" fontId="15" fillId="18" borderId="0" xfId="0" applyFont="1" applyFill="1"/>
    <xf numFmtId="0" fontId="11" fillId="18" borderId="0" xfId="0" applyFont="1" applyFill="1"/>
    <xf numFmtId="0" fontId="11" fillId="18" borderId="0" xfId="0" applyFont="1" applyFill="1" applyAlignment="1">
      <alignment horizontal="left"/>
    </xf>
    <xf numFmtId="0" fontId="1" fillId="19" borderId="0" xfId="0" applyFont="1" applyFill="1" applyAlignment="1">
      <alignment vertical="center"/>
    </xf>
    <xf numFmtId="0" fontId="36" fillId="19" borderId="0" xfId="0" applyFont="1" applyFill="1" applyAlignment="1">
      <alignment horizontal="right" vertical="center"/>
    </xf>
    <xf numFmtId="0" fontId="44" fillId="8" borderId="1" xfId="0" applyFont="1" applyFill="1" applyBorder="1" applyAlignment="1" applyProtection="1">
      <alignment vertical="center"/>
      <protection locked="0"/>
    </xf>
    <xf numFmtId="166" fontId="34" fillId="2" borderId="1" xfId="0" applyNumberFormat="1" applyFont="1" applyFill="1" applyBorder="1" applyAlignment="1">
      <alignment horizontal="center" vertical="center"/>
    </xf>
    <xf numFmtId="0" fontId="23" fillId="5" borderId="19" xfId="0" applyFont="1" applyFill="1" applyBorder="1" applyAlignment="1">
      <alignment horizontal="center"/>
    </xf>
    <xf numFmtId="44" fontId="69" fillId="7" borderId="33" xfId="0" applyNumberFormat="1" applyFont="1" applyFill="1" applyBorder="1" applyAlignment="1">
      <alignment horizontal="center" vertical="center" wrapText="1"/>
    </xf>
    <xf numFmtId="0" fontId="15" fillId="6" borderId="0" xfId="0" applyFont="1" applyFill="1" applyAlignment="1">
      <alignment vertical="center"/>
    </xf>
    <xf numFmtId="0" fontId="1" fillId="6" borderId="0" xfId="0" applyFont="1" applyFill="1" applyAlignment="1">
      <alignment vertical="center"/>
    </xf>
    <xf numFmtId="0" fontId="1" fillId="6" borderId="0" xfId="0" applyFont="1" applyFill="1"/>
    <xf numFmtId="0" fontId="15" fillId="6" borderId="0" xfId="0" applyFont="1" applyFill="1"/>
    <xf numFmtId="0" fontId="11" fillId="6" borderId="0" xfId="0" applyFont="1" applyFill="1"/>
    <xf numFmtId="0" fontId="11" fillId="6" borderId="0" xfId="0" applyFont="1" applyFill="1" applyAlignment="1">
      <alignment horizontal="left"/>
    </xf>
    <xf numFmtId="0" fontId="15" fillId="6" borderId="11" xfId="0" applyFont="1" applyFill="1" applyBorder="1"/>
    <xf numFmtId="0" fontId="15" fillId="6" borderId="0" xfId="0" applyFont="1" applyFill="1" applyAlignment="1">
      <alignment horizontal="left"/>
    </xf>
    <xf numFmtId="0" fontId="10" fillId="0" borderId="0" xfId="0" applyFont="1" applyAlignment="1" applyProtection="1">
      <alignment horizontal="left" vertical="center"/>
      <protection locked="0"/>
    </xf>
    <xf numFmtId="0" fontId="1" fillId="0" borderId="1" xfId="0" applyFont="1" applyBorder="1" applyAlignment="1">
      <alignment vertical="center"/>
    </xf>
    <xf numFmtId="0" fontId="19" fillId="0" borderId="1" xfId="0" applyFont="1" applyBorder="1" applyAlignment="1">
      <alignment vertical="center"/>
    </xf>
    <xf numFmtId="0" fontId="10" fillId="0" borderId="1" xfId="0" applyFont="1" applyBorder="1" applyAlignment="1">
      <alignment horizontal="left" vertical="center"/>
    </xf>
    <xf numFmtId="0" fontId="10" fillId="0" borderId="1" xfId="0" applyFont="1" applyBorder="1" applyAlignment="1">
      <alignment vertical="center" wrapText="1"/>
    </xf>
    <xf numFmtId="0" fontId="41" fillId="0" borderId="1" xfId="0" applyFont="1" applyBorder="1" applyAlignment="1">
      <alignment vertical="center"/>
    </xf>
    <xf numFmtId="167" fontId="1" fillId="17" borderId="1" xfId="0" applyNumberFormat="1" applyFont="1" applyFill="1" applyBorder="1" applyAlignment="1">
      <alignment horizontal="center" vertical="center"/>
    </xf>
    <xf numFmtId="0" fontId="20" fillId="11" borderId="3" xfId="0" applyFont="1" applyFill="1" applyBorder="1" applyAlignment="1">
      <alignment horizontal="center" vertical="center" wrapText="1"/>
    </xf>
    <xf numFmtId="0" fontId="20" fillId="11" borderId="8" xfId="0" applyFont="1" applyFill="1" applyBorder="1" applyAlignment="1">
      <alignment horizontal="center" vertical="center" wrapText="1"/>
    </xf>
    <xf numFmtId="0" fontId="59" fillId="11" borderId="8" xfId="0" applyFont="1" applyFill="1" applyBorder="1" applyAlignment="1">
      <alignment horizontal="center" wrapText="1"/>
    </xf>
    <xf numFmtId="0" fontId="59" fillId="11" borderId="2" xfId="0" applyFont="1" applyFill="1" applyBorder="1" applyAlignment="1">
      <alignment horizontal="center" wrapText="1"/>
    </xf>
    <xf numFmtId="0" fontId="56" fillId="11" borderId="3" xfId="0" applyFont="1" applyFill="1" applyBorder="1" applyAlignment="1">
      <alignment horizontal="center" vertical="center" wrapText="1"/>
    </xf>
    <xf numFmtId="0" fontId="56" fillId="11" borderId="8" xfId="0" applyFont="1" applyFill="1" applyBorder="1" applyAlignment="1">
      <alignment horizontal="center" vertical="center" wrapText="1"/>
    </xf>
    <xf numFmtId="0" fontId="40" fillId="11" borderId="8" xfId="0" applyFont="1" applyFill="1" applyBorder="1" applyAlignment="1">
      <alignment horizontal="center" wrapText="1"/>
    </xf>
    <xf numFmtId="0" fontId="40" fillId="11" borderId="2" xfId="0" applyFont="1" applyFill="1" applyBorder="1" applyAlignment="1">
      <alignment horizontal="center" wrapText="1"/>
    </xf>
    <xf numFmtId="0" fontId="55" fillId="10" borderId="21" xfId="0" applyFont="1" applyFill="1" applyBorder="1" applyAlignment="1">
      <alignment horizontal="center" vertical="center"/>
    </xf>
    <xf numFmtId="0" fontId="55" fillId="10" borderId="22" xfId="0" applyFont="1" applyFill="1" applyBorder="1" applyAlignment="1">
      <alignment horizontal="center" vertical="center"/>
    </xf>
    <xf numFmtId="0" fontId="55" fillId="10" borderId="23" xfId="0" applyFont="1" applyFill="1" applyBorder="1" applyAlignment="1">
      <alignment horizontal="center" vertical="center"/>
    </xf>
    <xf numFmtId="0" fontId="0" fillId="0" borderId="0" xfId="0" applyAlignment="1">
      <alignment horizontal="center"/>
    </xf>
    <xf numFmtId="0" fontId="0" fillId="0" borderId="9" xfId="0" applyBorder="1" applyAlignment="1">
      <alignment horizontal="center"/>
    </xf>
    <xf numFmtId="0" fontId="44" fillId="0" borderId="24" xfId="0" applyFont="1" applyBorder="1" applyAlignment="1">
      <alignment horizontal="left" vertical="top" wrapText="1"/>
    </xf>
    <xf numFmtId="0" fontId="44" fillId="0" borderId="25" xfId="0" applyFont="1" applyBorder="1" applyAlignment="1">
      <alignment horizontal="left" vertical="top" wrapText="1"/>
    </xf>
    <xf numFmtId="0" fontId="44" fillId="0" borderId="26" xfId="0" applyFont="1" applyBorder="1" applyAlignment="1">
      <alignment horizontal="left" vertical="top" wrapText="1"/>
    </xf>
    <xf numFmtId="0" fontId="44" fillId="0" borderId="27" xfId="0" applyFont="1" applyBorder="1" applyAlignment="1">
      <alignment horizontal="left" vertical="top" wrapText="1"/>
    </xf>
    <xf numFmtId="0" fontId="44" fillId="0" borderId="28" xfId="0" applyFont="1" applyBorder="1" applyAlignment="1">
      <alignment horizontal="left" vertical="top" wrapText="1"/>
    </xf>
    <xf numFmtId="0" fontId="44" fillId="0" borderId="29" xfId="0" applyFont="1" applyBorder="1" applyAlignment="1">
      <alignment horizontal="left" vertical="top" wrapText="1"/>
    </xf>
    <xf numFmtId="0" fontId="65" fillId="0" borderId="24" xfId="0" applyFont="1" applyBorder="1" applyAlignment="1">
      <alignment horizontal="left" vertical="top" wrapText="1"/>
    </xf>
    <xf numFmtId="0" fontId="44" fillId="0" borderId="30" xfId="0" applyFont="1" applyBorder="1" applyAlignment="1">
      <alignment horizontal="left" vertical="top" wrapText="1"/>
    </xf>
    <xf numFmtId="0" fontId="44" fillId="0" borderId="0" xfId="0" applyFont="1" applyAlignment="1">
      <alignment horizontal="left" vertical="top" wrapText="1"/>
    </xf>
    <xf numFmtId="0" fontId="44" fillId="0" borderId="31" xfId="0" applyFont="1" applyBorder="1" applyAlignment="1">
      <alignment horizontal="left" vertical="top" wrapText="1"/>
    </xf>
    <xf numFmtId="0" fontId="55" fillId="10" borderId="3" xfId="0" applyFont="1" applyFill="1" applyBorder="1" applyAlignment="1">
      <alignment horizontal="center" vertical="center"/>
    </xf>
    <xf numFmtId="0" fontId="55" fillId="10" borderId="8" xfId="0" applyFont="1" applyFill="1" applyBorder="1" applyAlignment="1">
      <alignment horizontal="center" vertical="center"/>
    </xf>
    <xf numFmtId="0" fontId="55" fillId="10" borderId="2" xfId="0" applyFont="1" applyFill="1" applyBorder="1" applyAlignment="1">
      <alignment horizontal="center" vertical="center"/>
    </xf>
    <xf numFmtId="0" fontId="18" fillId="0" borderId="0" xfId="0" applyFont="1" applyAlignment="1">
      <alignment horizontal="center"/>
    </xf>
    <xf numFmtId="0" fontId="2" fillId="6" borderId="0" xfId="0" applyFont="1" applyFill="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10" xfId="0" applyFont="1" applyBorder="1" applyAlignment="1">
      <alignment horizontal="left" vertical="top" wrapText="1"/>
    </xf>
    <xf numFmtId="0" fontId="23" fillId="0" borderId="12" xfId="0" applyFont="1" applyBorder="1" applyAlignment="1">
      <alignment horizontal="left" vertical="top" wrapText="1"/>
    </xf>
    <xf numFmtId="0" fontId="10" fillId="0" borderId="6" xfId="0" applyFont="1" applyBorder="1" applyAlignment="1">
      <alignment horizontal="left" vertical="top" wrapText="1"/>
    </xf>
    <xf numFmtId="0" fontId="10" fillId="0" borderId="11" xfId="0" applyFont="1" applyBorder="1" applyAlignment="1">
      <alignment horizontal="left" vertical="top"/>
    </xf>
    <xf numFmtId="0" fontId="10" fillId="0" borderId="7" xfId="0" applyFont="1" applyBorder="1" applyAlignment="1">
      <alignment horizontal="left" vertical="top"/>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0" fillId="0" borderId="10" xfId="0" applyFont="1" applyBorder="1" applyAlignment="1">
      <alignment horizontal="left" vertical="top"/>
    </xf>
    <xf numFmtId="0" fontId="10" fillId="0" borderId="9" xfId="0" applyFont="1" applyBorder="1" applyAlignment="1">
      <alignment horizontal="left" vertical="top"/>
    </xf>
    <xf numFmtId="0" fontId="10" fillId="0" borderId="12" xfId="0" applyFont="1" applyBorder="1" applyAlignment="1">
      <alignment horizontal="left" vertical="top"/>
    </xf>
    <xf numFmtId="0" fontId="52" fillId="11" borderId="3" xfId="0" applyFont="1" applyFill="1" applyBorder="1" applyAlignment="1">
      <alignment horizontal="center" vertical="center" wrapText="1"/>
    </xf>
    <xf numFmtId="0" fontId="52" fillId="11" borderId="8" xfId="0" applyFont="1" applyFill="1" applyBorder="1" applyAlignment="1">
      <alignment horizontal="center" vertical="center" wrapText="1"/>
    </xf>
    <xf numFmtId="0" fontId="53" fillId="11" borderId="8" xfId="0" applyFont="1" applyFill="1" applyBorder="1" applyAlignment="1">
      <alignment horizontal="center" wrapText="1"/>
    </xf>
    <xf numFmtId="0" fontId="53" fillId="11" borderId="2" xfId="0" applyFont="1" applyFill="1" applyBorder="1" applyAlignment="1">
      <alignment horizontal="center" wrapText="1"/>
    </xf>
    <xf numFmtId="0" fontId="45" fillId="15" borderId="3" xfId="0" applyFont="1" applyFill="1" applyBorder="1" applyAlignment="1">
      <alignment horizontal="center" vertical="center"/>
    </xf>
    <xf numFmtId="0" fontId="45" fillId="15" borderId="8" xfId="0" applyFont="1" applyFill="1" applyBorder="1" applyAlignment="1">
      <alignment horizontal="center" vertical="center"/>
    </xf>
    <xf numFmtId="0" fontId="45" fillId="15" borderId="2" xfId="0" applyFont="1" applyFill="1" applyBorder="1" applyAlignment="1">
      <alignment horizontal="center" vertical="center"/>
    </xf>
    <xf numFmtId="0" fontId="10" fillId="8" borderId="3" xfId="0" applyFont="1" applyFill="1" applyBorder="1" applyAlignment="1" applyProtection="1">
      <alignment horizontal="left" vertical="center"/>
      <protection locked="0"/>
    </xf>
    <xf numFmtId="0" fontId="10" fillId="8" borderId="8" xfId="0" applyFont="1" applyFill="1" applyBorder="1" applyAlignment="1" applyProtection="1">
      <alignment horizontal="left" vertical="center"/>
      <protection locked="0"/>
    </xf>
    <xf numFmtId="0" fontId="10" fillId="8" borderId="2" xfId="0" applyFont="1" applyFill="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4" fillId="0" borderId="0" xfId="0" applyFont="1" applyAlignment="1">
      <alignment horizontal="left"/>
    </xf>
    <xf numFmtId="0" fontId="14" fillId="0" borderId="0" xfId="0" applyFont="1" applyAlignment="1">
      <alignment horizontal="left" wrapText="1"/>
    </xf>
    <xf numFmtId="0" fontId="10" fillId="8" borderId="3" xfId="0" applyFont="1" applyFill="1" applyBorder="1" applyAlignment="1" applyProtection="1">
      <alignment horizontal="center" vertical="center"/>
      <protection locked="0"/>
    </xf>
    <xf numFmtId="0" fontId="10" fillId="8" borderId="8" xfId="0" applyFont="1" applyFill="1" applyBorder="1" applyAlignment="1" applyProtection="1">
      <alignment horizontal="center" vertical="center"/>
      <protection locked="0"/>
    </xf>
    <xf numFmtId="0" fontId="10" fillId="8" borderId="2" xfId="0" applyFont="1" applyFill="1" applyBorder="1" applyAlignment="1" applyProtection="1">
      <alignment horizontal="center" vertical="center"/>
      <protection locked="0"/>
    </xf>
    <xf numFmtId="0" fontId="57" fillId="0" borderId="0" xfId="0" applyFont="1" applyAlignment="1">
      <alignment horizontal="left" vertical="center"/>
    </xf>
    <xf numFmtId="0" fontId="14" fillId="0" borderId="9" xfId="0" applyFont="1" applyBorder="1" applyAlignment="1">
      <alignment horizontal="center" vertical="center"/>
    </xf>
    <xf numFmtId="0" fontId="0" fillId="0" borderId="9" xfId="0" applyBorder="1" applyAlignment="1">
      <alignment horizontal="center" vertical="center"/>
    </xf>
    <xf numFmtId="0" fontId="44" fillId="8" borderId="10" xfId="0" applyFont="1" applyFill="1" applyBorder="1" applyAlignment="1" applyProtection="1">
      <alignment horizontal="left" vertical="center"/>
      <protection locked="0"/>
    </xf>
    <xf numFmtId="0" fontId="44" fillId="8" borderId="9" xfId="0" applyFont="1" applyFill="1" applyBorder="1" applyAlignment="1" applyProtection="1">
      <alignment horizontal="left" vertical="center"/>
      <protection locked="0"/>
    </xf>
    <xf numFmtId="0" fontId="44" fillId="8" borderId="12" xfId="0" applyFont="1" applyFill="1" applyBorder="1" applyAlignment="1" applyProtection="1">
      <alignment horizontal="left" vertical="center"/>
      <protection locked="0"/>
    </xf>
    <xf numFmtId="0" fontId="44" fillId="8" borderId="3" xfId="0" applyFont="1" applyFill="1" applyBorder="1" applyAlignment="1" applyProtection="1">
      <alignment horizontal="left" vertical="center"/>
      <protection locked="0"/>
    </xf>
    <xf numFmtId="0" fontId="44" fillId="8" borderId="8" xfId="0" applyFont="1" applyFill="1" applyBorder="1" applyAlignment="1" applyProtection="1">
      <alignment horizontal="left" vertical="center"/>
      <protection locked="0"/>
    </xf>
    <xf numFmtId="0" fontId="44" fillId="8" borderId="2" xfId="0" applyFont="1" applyFill="1" applyBorder="1" applyAlignment="1" applyProtection="1">
      <alignment horizontal="left" vertical="center"/>
      <protection locked="0"/>
    </xf>
    <xf numFmtId="0" fontId="57" fillId="6" borderId="21" xfId="0" applyFont="1" applyFill="1" applyBorder="1" applyAlignment="1">
      <alignment horizontal="center" vertical="center"/>
    </xf>
    <xf numFmtId="0" fontId="57" fillId="6" borderId="22" xfId="0" applyFont="1" applyFill="1" applyBorder="1" applyAlignment="1">
      <alignment horizontal="center" vertical="center"/>
    </xf>
    <xf numFmtId="0" fontId="57" fillId="6" borderId="23" xfId="0" applyFont="1" applyFill="1" applyBorder="1" applyAlignment="1">
      <alignment horizontal="center" vertical="center"/>
    </xf>
    <xf numFmtId="0" fontId="44" fillId="18" borderId="1" xfId="0" applyFont="1" applyFill="1" applyBorder="1" applyAlignment="1" applyProtection="1">
      <alignment horizontal="left" vertical="center"/>
      <protection locked="0"/>
    </xf>
    <xf numFmtId="0" fontId="44" fillId="18" borderId="3" xfId="0" applyFont="1" applyFill="1" applyBorder="1" applyAlignment="1" applyProtection="1">
      <alignment horizontal="left" vertical="center"/>
      <protection locked="0"/>
    </xf>
    <xf numFmtId="0" fontId="44" fillId="18" borderId="8" xfId="0" applyFont="1" applyFill="1" applyBorder="1" applyAlignment="1" applyProtection="1">
      <alignment horizontal="left" vertical="center"/>
      <protection locked="0"/>
    </xf>
    <xf numFmtId="0" fontId="44" fillId="18" borderId="2" xfId="0" applyFont="1" applyFill="1" applyBorder="1" applyAlignment="1" applyProtection="1">
      <alignment horizontal="left" vertical="center"/>
      <protection locked="0"/>
    </xf>
    <xf numFmtId="0" fontId="44" fillId="18" borderId="10" xfId="0" applyFont="1" applyFill="1" applyBorder="1" applyAlignment="1" applyProtection="1">
      <alignment horizontal="left" vertical="center"/>
      <protection locked="0"/>
    </xf>
    <xf numFmtId="0" fontId="44" fillId="18" borderId="9" xfId="0" applyFont="1" applyFill="1" applyBorder="1" applyAlignment="1" applyProtection="1">
      <alignment horizontal="left" vertical="center"/>
      <protection locked="0"/>
    </xf>
    <xf numFmtId="0" fontId="44" fillId="18" borderId="12" xfId="0" applyFont="1" applyFill="1" applyBorder="1" applyAlignment="1" applyProtection="1">
      <alignment horizontal="left" vertical="center"/>
      <protection locked="0"/>
    </xf>
    <xf numFmtId="0" fontId="0" fillId="0" borderId="1" xfId="0" applyBorder="1" applyAlignment="1">
      <alignment horizontal="left" vertical="center"/>
    </xf>
    <xf numFmtId="0" fontId="0" fillId="18" borderId="1" xfId="0" applyFill="1" applyBorder="1" applyAlignment="1">
      <alignment horizontal="left" vertical="center"/>
    </xf>
    <xf numFmtId="167" fontId="3" fillId="3" borderId="3" xfId="0" applyNumberFormat="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3" xfId="0" applyBorder="1" applyAlignment="1">
      <alignment horizontal="left" vertical="center"/>
    </xf>
    <xf numFmtId="0" fontId="0" fillId="0" borderId="2" xfId="0"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42" fillId="0" borderId="0" xfId="0" applyFont="1" applyAlignment="1">
      <alignment vertical="center"/>
    </xf>
    <xf numFmtId="0" fontId="4" fillId="0" borderId="0" xfId="0" applyFont="1" applyAlignment="1">
      <alignment horizontal="left"/>
    </xf>
    <xf numFmtId="0" fontId="0" fillId="0" borderId="0" xfId="0" applyAlignment="1">
      <alignment horizontal="left"/>
    </xf>
    <xf numFmtId="0" fontId="5" fillId="0" borderId="0" xfId="0" applyFont="1" applyAlignment="1">
      <alignment horizontal="left"/>
    </xf>
    <xf numFmtId="0" fontId="3" fillId="0" borderId="0" xfId="0" applyFont="1" applyAlignment="1">
      <alignment horizontal="left"/>
    </xf>
    <xf numFmtId="0" fontId="11" fillId="0" borderId="0" xfId="0" applyFont="1" applyAlignment="1">
      <alignment horizontal="left"/>
    </xf>
    <xf numFmtId="0" fontId="11" fillId="0" borderId="0" xfId="0" applyFont="1" applyAlignment="1">
      <alignment horizontal="center" vertical="top"/>
    </xf>
    <xf numFmtId="0" fontId="63" fillId="9" borderId="0" xfId="0" applyFont="1" applyFill="1" applyAlignment="1">
      <alignment horizontal="center" vertical="center" wrapText="1"/>
    </xf>
    <xf numFmtId="0" fontId="43" fillId="0" borderId="0" xfId="0" applyFont="1" applyAlignment="1">
      <alignment vertical="center"/>
    </xf>
    <xf numFmtId="0" fontId="0" fillId="0" borderId="0" xfId="0"/>
    <xf numFmtId="0" fontId="63" fillId="6" borderId="0" xfId="0" applyFont="1" applyFill="1" applyAlignment="1">
      <alignment horizontal="center" vertical="center" wrapText="1"/>
    </xf>
    <xf numFmtId="0" fontId="6" fillId="0" borderId="3" xfId="0" applyFont="1" applyBorder="1" applyAlignment="1">
      <alignment horizontal="left"/>
    </xf>
    <xf numFmtId="0" fontId="6" fillId="0" borderId="2" xfId="0" applyFont="1" applyBorder="1" applyAlignment="1">
      <alignment horizontal="left"/>
    </xf>
  </cellXfs>
  <cellStyles count="3">
    <cellStyle name="Normal" xfId="0" builtinId="0"/>
    <cellStyle name="Procent" xfId="1" builtinId="5"/>
    <cellStyle name="Tusental" xfId="2" builtinId="3"/>
  </cellStyles>
  <dxfs count="398">
    <dxf>
      <fill>
        <patternFill patternType="lightUp">
          <fgColor rgb="FFFF0000"/>
        </patternFill>
      </fill>
    </dxf>
    <dxf>
      <fill>
        <patternFill patternType="lightUp">
          <fgColor rgb="FFFF0000"/>
        </patternFill>
      </fill>
    </dxf>
    <dxf>
      <fill>
        <patternFill patternType="lightUp">
          <fgColor rgb="FFFF0000"/>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bgColor theme="5" tint="0.59996337778862885"/>
        </patternFill>
      </fill>
    </dxf>
    <dxf>
      <fill>
        <patternFill>
          <bgColor theme="5" tint="0.59996337778862885"/>
        </patternFill>
      </fill>
    </dxf>
    <dxf>
      <fill>
        <patternFill>
          <bgColor theme="5" tint="0.59996337778862885"/>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ont>
        <b/>
        <i val="0"/>
        <color theme="0"/>
      </font>
      <fill>
        <patternFill patternType="gray125">
          <bgColor rgb="FF7030A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FF0000"/>
        </patternFill>
      </fill>
    </dxf>
    <dxf>
      <fill>
        <patternFill>
          <bgColor rgb="FFFF0000"/>
        </patternFill>
      </fill>
    </dxf>
    <dxf>
      <fill>
        <patternFill>
          <bgColor rgb="FFFFCCFF"/>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bgColor theme="5" tint="0.59996337778862885"/>
        </patternFill>
      </fill>
    </dxf>
    <dxf>
      <fill>
        <patternFill>
          <bgColor rgb="FFFF0000"/>
        </patternFill>
      </fill>
    </dxf>
    <dxf>
      <fill>
        <patternFill>
          <bgColor rgb="FFFF66FF"/>
        </patternFill>
      </fill>
    </dxf>
    <dxf>
      <fill>
        <patternFill>
          <bgColor rgb="FFFF66FF"/>
        </patternFill>
      </fill>
    </dxf>
    <dxf>
      <fill>
        <patternFill>
          <bgColor rgb="FFFFCCFF"/>
        </patternFill>
      </fill>
    </dxf>
    <dxf>
      <fill>
        <patternFill>
          <bgColor rgb="FFFFCCFF"/>
        </patternFill>
      </fill>
    </dxf>
    <dxf>
      <fill>
        <patternFill>
          <bgColor rgb="FFFF0000"/>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ill>
        <patternFill patternType="lightUp">
          <fgColor rgb="FFFF0000"/>
        </patternFill>
      </fill>
    </dxf>
    <dxf>
      <fill>
        <patternFill patternType="lightUp">
          <fgColor rgb="FFFF0000"/>
        </patternFill>
      </fill>
    </dxf>
    <dxf>
      <font>
        <b/>
        <i val="0"/>
        <color theme="0"/>
      </font>
      <fill>
        <patternFill patternType="gray125">
          <bgColor rgb="FF7030A0"/>
        </patternFill>
      </fill>
    </dxf>
    <dxf>
      <fill>
        <patternFill>
          <bgColor rgb="FFFF0000"/>
        </patternFill>
      </fill>
    </dxf>
    <dxf>
      <fill>
        <patternFill patternType="lightUp">
          <fgColor rgb="FFFF0000"/>
        </patternFill>
      </fill>
    </dxf>
    <dxf>
      <fill>
        <patternFill>
          <bgColor rgb="FFFF0000"/>
        </patternFill>
      </fill>
    </dxf>
    <dxf>
      <fill>
        <patternFill>
          <bgColor rgb="FFFF0000"/>
        </patternFill>
      </fill>
    </dxf>
    <dxf>
      <fill>
        <patternFill>
          <bgColor rgb="FFFFCCFF"/>
        </patternFill>
      </fill>
    </dxf>
    <dxf>
      <fill>
        <patternFill>
          <bgColor rgb="FFFFCCFF"/>
        </patternFill>
      </fill>
    </dxf>
    <dxf>
      <fill>
        <patternFill>
          <bgColor rgb="FFFF66FF"/>
        </patternFill>
      </fill>
    </dxf>
    <dxf>
      <fill>
        <patternFill>
          <bgColor rgb="FFFF66FF"/>
        </patternFill>
      </fill>
    </dxf>
    <dxf>
      <fill>
        <patternFill>
          <bgColor rgb="FFFF0000"/>
        </patternFill>
      </fill>
    </dxf>
    <dxf>
      <fill>
        <patternFill>
          <bgColor rgb="FFBE9EE2"/>
        </patternFill>
      </fill>
    </dxf>
    <dxf>
      <fill>
        <patternFill>
          <bgColor rgb="FFB4FAC6"/>
        </patternFill>
      </fill>
    </dxf>
    <dxf>
      <fill>
        <patternFill>
          <bgColor theme="3" tint="0.79998168889431442"/>
        </patternFill>
      </fill>
    </dxf>
    <dxf>
      <fill>
        <patternFill>
          <bgColor theme="0" tint="-0.14996795556505021"/>
        </patternFill>
      </fill>
    </dxf>
    <dxf>
      <fill>
        <patternFill>
          <bgColor theme="9" tint="0.59996337778862885"/>
        </patternFill>
      </fill>
    </dxf>
    <dxf>
      <fill>
        <patternFill>
          <bgColor theme="6" tint="0.59996337778862885"/>
        </patternFill>
      </fill>
    </dxf>
    <dxf>
      <fill>
        <patternFill>
          <bgColor rgb="FFFFE1FF"/>
        </patternFill>
      </fill>
    </dxf>
    <dxf>
      <fill>
        <patternFill>
          <bgColor rgb="FFE7ABCA"/>
        </patternFill>
      </fill>
    </dxf>
    <dxf>
      <fill>
        <patternFill>
          <bgColor theme="8" tint="0.79998168889431442"/>
        </patternFill>
      </fill>
    </dxf>
    <dxf>
      <fill>
        <patternFill>
          <bgColor theme="4" tint="0.39994506668294322"/>
        </patternFill>
      </fill>
    </dxf>
    <dxf>
      <font>
        <color rgb="FF000000"/>
      </font>
      <fill>
        <patternFill patternType="solid">
          <bgColor rgb="FF92D050"/>
        </patternFill>
      </fill>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color rgb="FFFF0000"/>
      </font>
    </dxf>
    <dxf>
      <font>
        <color theme="0"/>
      </font>
      <fill>
        <patternFill>
          <bgColor rgb="FFFF0000"/>
        </patternFill>
      </fill>
    </dxf>
    <dxf>
      <font>
        <b/>
        <i val="0"/>
        <color rgb="FFFF0000"/>
      </font>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color rgb="FFFF0000"/>
      </font>
    </dxf>
    <dxf>
      <font>
        <color theme="0"/>
      </font>
      <fill>
        <patternFill>
          <bgColor rgb="FFFF0000"/>
        </patternFill>
      </fill>
    </dxf>
    <dxf>
      <font>
        <color theme="0"/>
      </font>
      <fill>
        <patternFill>
          <bgColor rgb="FFFF0000"/>
        </patternFill>
      </fill>
    </dxf>
    <dxf>
      <font>
        <color theme="0"/>
      </font>
      <fill>
        <patternFill>
          <bgColor rgb="FFFF0000"/>
        </patternFill>
      </fill>
    </dxf>
    <dxf>
      <font>
        <b/>
        <i val="0"/>
        <color rgb="FFFF0000"/>
      </font>
    </dxf>
    <dxf>
      <font>
        <color theme="0"/>
      </font>
      <fill>
        <patternFill>
          <bgColor rgb="FFFF0000"/>
        </patternFill>
      </fill>
    </dxf>
    <dxf>
      <font>
        <b/>
        <i val="0"/>
        <color rgb="FFFF0000"/>
      </font>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numFmt numFmtId="19"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rgb="FFFF000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0"/>
        <name val="Calibri"/>
        <scheme val="minor"/>
      </font>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9"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solid">
          <fgColor indexed="64"/>
          <bgColor rgb="FFFF0000"/>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scheme val="minor"/>
      </font>
    </dxf>
    <dxf>
      <border>
        <bottom style="thick">
          <color theme="0"/>
        </bottom>
      </border>
    </dxf>
    <dxf>
      <font>
        <b val="0"/>
        <i val="0"/>
        <strike val="0"/>
        <condense val="0"/>
        <extend val="0"/>
        <outline val="0"/>
        <shadow val="0"/>
        <u val="none"/>
        <vertAlign val="baseline"/>
        <sz val="11"/>
        <color theme="0"/>
        <name val="Calibri"/>
        <scheme val="minor"/>
      </font>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9"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border diagonalUp="0" diagonalDown="0">
        <left style="thin">
          <color theme="0"/>
        </left>
        <right style="thin">
          <color theme="0"/>
        </right>
        <top style="thin">
          <color auto="1"/>
        </top>
        <bottom style="thin">
          <color auto="1"/>
        </bottom>
        <vertical/>
        <horizontal style="thin">
          <color auto="1"/>
        </horizontal>
      </border>
    </dxf>
    <dxf>
      <font>
        <b val="0"/>
        <i val="0"/>
        <strike val="0"/>
        <condense val="0"/>
        <extend val="0"/>
        <outline val="0"/>
        <shadow val="0"/>
        <u val="none"/>
        <vertAlign val="baseline"/>
        <sz val="11"/>
        <color auto="1"/>
        <name val="Calibri"/>
        <scheme val="minor"/>
      </font>
    </dxf>
    <dxf>
      <border>
        <bottom style="thick">
          <color theme="0"/>
        </bottom>
      </border>
    </dxf>
    <dxf>
      <font>
        <b val="0"/>
        <i val="0"/>
        <strike val="0"/>
        <condense val="0"/>
        <extend val="0"/>
        <outline val="0"/>
        <shadow val="0"/>
        <u val="none"/>
        <vertAlign val="baseline"/>
        <sz val="11"/>
        <color theme="0"/>
        <name val="Calibri"/>
        <scheme val="minor"/>
      </font>
    </dxf>
    <dxf>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0" formatCode="General"/>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numFmt numFmtId="19" formatCode="yyyy/mm/dd"/>
      <alignment horizontal="right" vertical="bottom" textRotation="0" wrapText="0" indent="0" justifyLastLine="0" shrinkToFit="0" readingOrder="0"/>
    </dxf>
    <dxf>
      <numFmt numFmtId="0" formatCode="General"/>
      <alignment horizontal="right" vertical="bottom" textRotation="0" wrapText="0" indent="0" justifyLastLine="0" shrinkToFit="0" readingOrder="0"/>
    </dxf>
    <dxf>
      <alignment horizontal="right"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b val="0"/>
        <i val="0"/>
        <strike val="0"/>
        <condense val="0"/>
        <extend val="0"/>
        <outline val="0"/>
        <shadow val="0"/>
        <u val="none"/>
        <vertAlign val="baseline"/>
        <sz val="11"/>
        <color auto="1"/>
        <name val="Calibri"/>
        <scheme val="minor"/>
      </font>
      <fill>
        <patternFill patternType="solid">
          <fgColor indexed="64"/>
          <bgColor rgb="FFFF66FF"/>
        </patternFill>
      </fill>
      <alignment horizontal="center" vertical="bottom" textRotation="0" wrapText="0" indent="0" justifyLastLine="0" shrinkToFit="0" readingOrder="0"/>
      <border diagonalUp="0" diagonalDown="0">
        <left/>
        <right style="thin">
          <color theme="0"/>
        </right>
        <top/>
        <bottom/>
        <vertical/>
        <horizontal/>
      </border>
    </dxf>
    <dxf>
      <font>
        <b val="0"/>
        <i val="0"/>
        <strike val="0"/>
        <condense val="0"/>
        <extend val="0"/>
        <outline val="0"/>
        <shadow val="0"/>
        <u val="none"/>
        <vertAlign val="baseline"/>
        <sz val="11"/>
        <color auto="1"/>
        <name val="Calibri"/>
        <scheme val="minor"/>
      </font>
    </dxf>
    <dxf>
      <border>
        <bottom style="thick">
          <color theme="0"/>
        </bottom>
      </border>
    </dxf>
    <dxf>
      <font>
        <b val="0"/>
        <i val="0"/>
        <strike val="0"/>
        <condense val="0"/>
        <extend val="0"/>
        <outline val="0"/>
        <shadow val="0"/>
        <u val="none"/>
        <vertAlign val="baseline"/>
        <sz val="11"/>
        <color theme="0"/>
        <name val="Calibri"/>
        <scheme val="minor"/>
      </font>
    </dxf>
  </dxfs>
  <tableStyles count="0" defaultTableStyle="TableStyleMedium9" defaultPivotStyle="PivotStyleLight16"/>
  <colors>
    <mruColors>
      <color rgb="FFFFFF99"/>
      <color rgb="FFFFFFCC"/>
      <color rgb="FFFFCCFF"/>
      <color rgb="FFFFB9E4"/>
      <color rgb="FF870052"/>
      <color rgb="FFBE9EE2"/>
      <color rgb="FFB4FAC6"/>
      <color rgb="FFE7ABCA"/>
      <color rgb="FFFFE1FF"/>
      <color rgb="FF00C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customXml" Target="../ink/ink7.xml"/><Relationship Id="rId3" Type="http://schemas.openxmlformats.org/officeDocument/2006/relationships/customXml" Target="../ink/ink2.xml"/><Relationship Id="rId7" Type="http://schemas.openxmlformats.org/officeDocument/2006/relationships/customXml" Target="../ink/ink4.xml"/><Relationship Id="rId12" Type="http://schemas.openxmlformats.org/officeDocument/2006/relationships/image" Target="../media/image6.png"/><Relationship Id="rId2" Type="http://schemas.openxmlformats.org/officeDocument/2006/relationships/image" Target="../media/image10.png"/><Relationship Id="rId16" Type="http://schemas.openxmlformats.org/officeDocument/2006/relationships/image" Target="../media/image8.png"/><Relationship Id="rId1" Type="http://schemas.openxmlformats.org/officeDocument/2006/relationships/customXml" Target="../ink/ink1.xml"/><Relationship Id="rId6" Type="http://schemas.openxmlformats.org/officeDocument/2006/relationships/image" Target="../media/image3.png"/><Relationship Id="rId11" Type="http://schemas.openxmlformats.org/officeDocument/2006/relationships/customXml" Target="../ink/ink6.xml"/><Relationship Id="rId5" Type="http://schemas.openxmlformats.org/officeDocument/2006/relationships/customXml" Target="../ink/ink3.xml"/><Relationship Id="rId15" Type="http://schemas.openxmlformats.org/officeDocument/2006/relationships/customXml" Target="../ink/ink8.xml"/><Relationship Id="rId10" Type="http://schemas.openxmlformats.org/officeDocument/2006/relationships/image" Target="../media/image5.png"/><Relationship Id="rId4" Type="http://schemas.openxmlformats.org/officeDocument/2006/relationships/image" Target="../media/image20.png"/><Relationship Id="rId9" Type="http://schemas.openxmlformats.org/officeDocument/2006/relationships/customXml" Target="../ink/ink5.xml"/><Relationship Id="rId14" Type="http://schemas.openxmlformats.org/officeDocument/2006/relationships/image" Target="../media/image7.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171450</xdr:colOff>
      <xdr:row>66</xdr:row>
      <xdr:rowOff>57150</xdr:rowOff>
    </xdr:from>
    <xdr:to>
      <xdr:col>31</xdr:col>
      <xdr:colOff>212725</xdr:colOff>
      <xdr:row>67</xdr:row>
      <xdr:rowOff>165100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Pennanteckning 1">
              <a:extLst>
                <a:ext uri="{FF2B5EF4-FFF2-40B4-BE49-F238E27FC236}">
                  <a16:creationId xmlns:a16="http://schemas.microsoft.com/office/drawing/2014/main" id="{AF938F6A-6095-4ADE-AE9E-897C2B5573B4}"/>
                </a:ext>
              </a:extLst>
            </xdr14:cNvPr>
            <xdr14:cNvContentPartPr/>
          </xdr14:nvContentPartPr>
          <xdr14:nvPr macro=""/>
          <xdr14:xfrm>
            <a:off x="12030075" y="13925550"/>
            <a:ext cx="2508250" cy="288925"/>
          </xdr14:xfrm>
        </xdr:contentPart>
      </mc:Choice>
      <mc:Fallback xmlns="">
        <xdr:pic>
          <xdr:nvPicPr>
            <xdr:cNvPr id="4" name="">
              <a:extLst>
                <a:ext uri="{FF2B5EF4-FFF2-40B4-BE49-F238E27FC236}">
                  <a16:creationId xmlns:a16="http://schemas.microsoft.com/office/drawing/2014/main" id="{58244D45-75D7-47DC-B750-96A754EC672E}"/>
                </a:ext>
              </a:extLst>
            </xdr:cNvPr>
            <xdr:cNvPicPr/>
          </xdr:nvPicPr>
          <xdr:blipFill>
            <a:blip xmlns:r="http://schemas.openxmlformats.org/officeDocument/2006/relationships" r:embed="rId2"/>
            <a:stretch>
              <a:fillRect/>
            </a:stretch>
          </xdr:blipFill>
          <xdr:spPr>
            <a:xfrm>
              <a:off x="-13822" y="943603"/>
              <a:ext cx="2560933" cy="617509"/>
            </a:xfrm>
            <a:prstGeom prst="rect">
              <a:avLst/>
            </a:prstGeom>
          </xdr:spPr>
        </xdr:pic>
      </mc:Fallback>
    </mc:AlternateContent>
    <xdr:clientData/>
  </xdr:twoCellAnchor>
  <xdr:twoCellAnchor editAs="oneCell">
    <xdr:from>
      <xdr:col>26</xdr:col>
      <xdr:colOff>123825</xdr:colOff>
      <xdr:row>67</xdr:row>
      <xdr:rowOff>0</xdr:rowOff>
    </xdr:from>
    <xdr:to>
      <xdr:col>29</xdr:col>
      <xdr:colOff>158750</xdr:colOff>
      <xdr:row>67</xdr:row>
      <xdr:rowOff>28575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Pennanteckning 2">
              <a:extLst>
                <a:ext uri="{FF2B5EF4-FFF2-40B4-BE49-F238E27FC236}">
                  <a16:creationId xmlns:a16="http://schemas.microsoft.com/office/drawing/2014/main" id="{F5FB8B3D-F608-415C-8F05-CD7AB1FDBF33}"/>
                </a:ext>
                <a:ext uri="{147F2762-F138-4A5C-976F-8EAC2B608ADB}">
                  <a16:predDERef xmlns:a16="http://schemas.microsoft.com/office/drawing/2014/main" pred="{AF938F6A-6095-4ADE-AE9E-897C2B5573B4}"/>
                </a:ext>
              </a:extLst>
            </xdr14:cNvPr>
            <xdr14:cNvContentPartPr/>
          </xdr14:nvContentPartPr>
          <xdr14:nvPr macro=""/>
          <xdr14:xfrm>
            <a:off x="12687300" y="14049375"/>
            <a:ext cx="1092200" cy="28575"/>
          </xdr14:xfrm>
        </xdr:contentPart>
      </mc:Choice>
      <mc:Fallback xmlns="">
        <xdr:pic>
          <xdr:nvPicPr>
            <xdr:cNvPr id="5" name="">
              <a:extLst>
                <a:ext uri="{FF2B5EF4-FFF2-40B4-BE49-F238E27FC236}">
                  <a16:creationId xmlns:a16="http://schemas.microsoft.com/office/drawing/2014/main" id="{55DA6437-AE55-43C7-8A90-36371D13B085}"/>
                </a:ext>
                <a:ext uri="{147F2762-F138-4A5C-976F-8EAC2B608ADB}">
                  <a16:predDERef xmlns:a16="http://schemas.microsoft.com/office/drawing/2014/main" pred="{58244D45-75D7-47DC-B750-96A754EC672E}"/>
                </a:ext>
              </a:extLst>
            </xdr:cNvPr>
            <xdr:cNvPicPr/>
          </xdr:nvPicPr>
          <xdr:blipFill>
            <a:blip xmlns:r="http://schemas.openxmlformats.org/officeDocument/2006/relationships" r:embed="rId4"/>
            <a:stretch>
              <a:fillRect/>
            </a:stretch>
          </xdr:blipFill>
          <xdr:spPr>
            <a:xfrm>
              <a:off x="8796778" y="-104293"/>
              <a:ext cx="1208434" cy="389922"/>
            </a:xfrm>
            <a:prstGeom prst="rect">
              <a:avLst/>
            </a:prstGeom>
          </xdr:spPr>
        </xdr:pic>
      </mc:Fallback>
    </mc:AlternateContent>
    <xdr:clientData/>
  </xdr:twoCellAnchor>
  <xdr:twoCellAnchor editAs="oneCell">
    <xdr:from>
      <xdr:col>26</xdr:col>
      <xdr:colOff>47625</xdr:colOff>
      <xdr:row>66</xdr:row>
      <xdr:rowOff>114300</xdr:rowOff>
    </xdr:from>
    <xdr:to>
      <xdr:col>28</xdr:col>
      <xdr:colOff>279400</xdr:colOff>
      <xdr:row>66</xdr:row>
      <xdr:rowOff>142875</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4" name="Pennanteckning 3">
              <a:extLst>
                <a:ext uri="{FF2B5EF4-FFF2-40B4-BE49-F238E27FC236}">
                  <a16:creationId xmlns:a16="http://schemas.microsoft.com/office/drawing/2014/main" id="{2DA992F6-2690-4F6C-A7D2-0094686E45AE}"/>
                </a:ext>
                <a:ext uri="{147F2762-F138-4A5C-976F-8EAC2B608ADB}">
                  <a16:predDERef xmlns:a16="http://schemas.microsoft.com/office/drawing/2014/main" pred="{F5FB8B3D-F608-415C-8F05-CD7AB1FDBF33}"/>
                </a:ext>
              </a:extLst>
            </xdr14:cNvPr>
            <xdr14:cNvContentPartPr/>
          </xdr14:nvContentPartPr>
          <xdr14:nvPr macro=""/>
          <xdr14:xfrm>
            <a:off x="12611100" y="13982700"/>
            <a:ext cx="936625" cy="28575"/>
          </xdr14:xfrm>
        </xdr:contentPart>
      </mc:Choice>
      <mc:Fallback xmlns="">
        <xdr:pic>
          <xdr:nvPicPr>
            <xdr:cNvPr id="6" name="">
              <a:extLst>
                <a:ext uri="{FF2B5EF4-FFF2-40B4-BE49-F238E27FC236}">
                  <a16:creationId xmlns:a16="http://schemas.microsoft.com/office/drawing/2014/main" id="{BBABD61E-2B8B-45F9-B6F9-819F37A5039C}"/>
                </a:ext>
                <a:ext uri="{147F2762-F138-4A5C-976F-8EAC2B608ADB}">
                  <a16:predDERef xmlns:a16="http://schemas.microsoft.com/office/drawing/2014/main" pred="{55DA6437-AE55-43C7-8A90-36371D13B085}"/>
                </a:ext>
              </a:extLst>
            </xdr:cNvPr>
            <xdr:cNvPicPr/>
          </xdr:nvPicPr>
          <xdr:blipFill>
            <a:blip xmlns:r="http://schemas.openxmlformats.org/officeDocument/2006/relationships" r:embed="rId6"/>
            <a:stretch>
              <a:fillRect/>
            </a:stretch>
          </xdr:blipFill>
          <xdr:spPr>
            <a:xfrm>
              <a:off x="-42394" y="7027252"/>
              <a:ext cx="1084554" cy="394555"/>
            </a:xfrm>
            <a:prstGeom prst="rect">
              <a:avLst/>
            </a:prstGeom>
          </xdr:spPr>
        </xdr:pic>
      </mc:Fallback>
    </mc:AlternateContent>
    <xdr:clientData/>
  </xdr:twoCellAnchor>
  <xdr:twoCellAnchor editAs="oneCell">
    <xdr:from>
      <xdr:col>26</xdr:col>
      <xdr:colOff>0</xdr:colOff>
      <xdr:row>65</xdr:row>
      <xdr:rowOff>171450</xdr:rowOff>
    </xdr:from>
    <xdr:to>
      <xdr:col>28</xdr:col>
      <xdr:colOff>260350</xdr:colOff>
      <xdr:row>67</xdr:row>
      <xdr:rowOff>79375</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5" name="Pennanteckning 4">
              <a:extLst>
                <a:ext uri="{FF2B5EF4-FFF2-40B4-BE49-F238E27FC236}">
                  <a16:creationId xmlns:a16="http://schemas.microsoft.com/office/drawing/2014/main" id="{7574A0E6-C0CC-4BB9-B233-5BBFE850D7DF}"/>
                </a:ext>
                <a:ext uri="{147F2762-F138-4A5C-976F-8EAC2B608ADB}">
                  <a16:predDERef xmlns:a16="http://schemas.microsoft.com/office/drawing/2014/main" pred="{2DA992F6-2690-4F6C-A7D2-0094686E45AE}"/>
                </a:ext>
              </a:extLst>
            </xdr14:cNvPr>
            <xdr14:cNvContentPartPr/>
          </xdr14:nvContentPartPr>
          <xdr14:nvPr macro=""/>
          <xdr14:xfrm>
            <a:off x="12563475" y="13858875"/>
            <a:ext cx="965200" cy="269875"/>
          </xdr14:xfrm>
        </xdr:contentPart>
      </mc:Choice>
      <mc:Fallback xmlns="">
        <xdr:pic>
          <xdr:nvPicPr>
            <xdr:cNvPr id="7" name="">
              <a:extLst>
                <a:ext uri="{FF2B5EF4-FFF2-40B4-BE49-F238E27FC236}">
                  <a16:creationId xmlns:a16="http://schemas.microsoft.com/office/drawing/2014/main" id="{DBB8F243-23AD-4983-9D12-E2D3A2ADB412}"/>
                </a:ext>
                <a:ext uri="{147F2762-F138-4A5C-976F-8EAC2B608ADB}">
                  <a16:predDERef xmlns:a16="http://schemas.microsoft.com/office/drawing/2014/main" pred="{BBABD61E-2B8B-45F9-B6F9-819F37A5039C}"/>
                </a:ext>
              </a:extLst>
            </xdr:cNvPr>
            <xdr:cNvPicPr/>
          </xdr:nvPicPr>
          <xdr:blipFill>
            <a:blip xmlns:r="http://schemas.openxmlformats.org/officeDocument/2006/relationships" r:embed="rId8"/>
            <a:stretch>
              <a:fillRect/>
            </a:stretch>
          </xdr:blipFill>
          <xdr:spPr>
            <a:xfrm>
              <a:off x="-89637" y="7268685"/>
              <a:ext cx="1113084" cy="578444"/>
            </a:xfrm>
            <a:prstGeom prst="rect">
              <a:avLst/>
            </a:prstGeom>
          </xdr:spPr>
        </xdr:pic>
      </mc:Fallback>
    </mc:AlternateContent>
    <xdr:clientData/>
  </xdr:twoCellAnchor>
  <xdr:twoCellAnchor editAs="oneCell">
    <xdr:from>
      <xdr:col>25</xdr:col>
      <xdr:colOff>219075</xdr:colOff>
      <xdr:row>66</xdr:row>
      <xdr:rowOff>95250</xdr:rowOff>
    </xdr:from>
    <xdr:to>
      <xdr:col>29</xdr:col>
      <xdr:colOff>139700</xdr:colOff>
      <xdr:row>66</xdr:row>
      <xdr:rowOff>114300</xdr:rowOff>
    </xdr:to>
    <mc:AlternateContent xmlns:mc="http://schemas.openxmlformats.org/markup-compatibility/2006" xmlns:xdr14="http://schemas.microsoft.com/office/excel/2010/spreadsheetDrawing">
      <mc:Choice Requires="xdr14">
        <xdr:contentPart xmlns:r="http://schemas.openxmlformats.org/officeDocument/2006/relationships" r:id="rId9">
          <xdr14:nvContentPartPr>
            <xdr14:cNvPr id="6" name="Pennanteckning 5">
              <a:extLst>
                <a:ext uri="{FF2B5EF4-FFF2-40B4-BE49-F238E27FC236}">
                  <a16:creationId xmlns:a16="http://schemas.microsoft.com/office/drawing/2014/main" id="{8F36750C-6208-481B-BE8A-FEF675766F8A}"/>
                </a:ext>
                <a:ext uri="{147F2762-F138-4A5C-976F-8EAC2B608ADB}">
                  <a16:predDERef xmlns:a16="http://schemas.microsoft.com/office/drawing/2014/main" pred="{7574A0E6-C0CC-4BB9-B233-5BBFE850D7DF}"/>
                </a:ext>
              </a:extLst>
            </xdr14:cNvPr>
            <xdr14:cNvContentPartPr/>
          </xdr14:nvContentPartPr>
          <xdr14:nvPr macro=""/>
          <xdr14:xfrm>
            <a:off x="12430125" y="13963650"/>
            <a:ext cx="1330325" cy="19050"/>
          </xdr14:xfrm>
        </xdr:contentPart>
      </mc:Choice>
      <mc:Fallback xmlns="">
        <xdr:pic>
          <xdr:nvPicPr>
            <xdr:cNvPr id="8" name="">
              <a:extLst>
                <a:ext uri="{FF2B5EF4-FFF2-40B4-BE49-F238E27FC236}">
                  <a16:creationId xmlns:a16="http://schemas.microsoft.com/office/drawing/2014/main" id="{4C565613-F64C-4483-BA55-54A5FC287876}"/>
                </a:ext>
                <a:ext uri="{147F2762-F138-4A5C-976F-8EAC2B608ADB}">
                  <a16:predDERef xmlns:a16="http://schemas.microsoft.com/office/drawing/2014/main" pred="{DBB8F243-23AD-4983-9D12-E2D3A2ADB412}"/>
                </a:ext>
              </a:extLst>
            </xdr:cNvPr>
            <xdr:cNvPicPr/>
          </xdr:nvPicPr>
          <xdr:blipFill>
            <a:blip xmlns:r="http://schemas.openxmlformats.org/officeDocument/2006/relationships" r:embed="rId10"/>
            <a:stretch>
              <a:fillRect/>
            </a:stretch>
          </xdr:blipFill>
          <xdr:spPr>
            <a:xfrm>
              <a:off x="-90050" y="7760677"/>
              <a:ext cx="1446565" cy="385030"/>
            </a:xfrm>
            <a:prstGeom prst="rect">
              <a:avLst/>
            </a:prstGeom>
          </xdr:spPr>
        </xdr:pic>
      </mc:Fallback>
    </mc:AlternateContent>
    <xdr:clientData/>
  </xdr:twoCellAnchor>
  <xdr:twoCellAnchor editAs="oneCell">
    <xdr:from>
      <xdr:col>24</xdr:col>
      <xdr:colOff>333375</xdr:colOff>
      <xdr:row>66</xdr:row>
      <xdr:rowOff>133350</xdr:rowOff>
    </xdr:from>
    <xdr:to>
      <xdr:col>28</xdr:col>
      <xdr:colOff>225425</xdr:colOff>
      <xdr:row>66</xdr:row>
      <xdr:rowOff>152400</xdr:rowOff>
    </xdr:to>
    <mc:AlternateContent xmlns:mc="http://schemas.openxmlformats.org/markup-compatibility/2006" xmlns:xdr14="http://schemas.microsoft.com/office/excel/2010/spreadsheetDrawing">
      <mc:Choice Requires="xdr14">
        <xdr:contentPart xmlns:r="http://schemas.openxmlformats.org/officeDocument/2006/relationships" r:id="rId11">
          <xdr14:nvContentPartPr>
            <xdr14:cNvPr id="7" name="Pennanteckning 6">
              <a:extLst>
                <a:ext uri="{FF2B5EF4-FFF2-40B4-BE49-F238E27FC236}">
                  <a16:creationId xmlns:a16="http://schemas.microsoft.com/office/drawing/2014/main" id="{CEA4D5BF-5833-4D87-A6C8-BE23B569F322}"/>
                </a:ext>
                <a:ext uri="{147F2762-F138-4A5C-976F-8EAC2B608ADB}">
                  <a16:predDERef xmlns:a16="http://schemas.microsoft.com/office/drawing/2014/main" pred="{8F36750C-6208-481B-BE8A-FEF675766F8A}"/>
                </a:ext>
              </a:extLst>
            </xdr14:cNvPr>
            <xdr14:cNvContentPartPr/>
          </xdr14:nvContentPartPr>
          <xdr14:nvPr macro=""/>
          <xdr14:xfrm>
            <a:off x="12192000" y="14001750"/>
            <a:ext cx="1301750" cy="19050"/>
          </xdr14:xfrm>
        </xdr:contentPart>
      </mc:Choice>
      <mc:Fallback xmlns="">
        <xdr:pic>
          <xdr:nvPicPr>
            <xdr:cNvPr id="9" name="">
              <a:extLst>
                <a:ext uri="{FF2B5EF4-FFF2-40B4-BE49-F238E27FC236}">
                  <a16:creationId xmlns:a16="http://schemas.microsoft.com/office/drawing/2014/main" id="{29CB31A1-1A7C-4FC5-9FB8-13F7DA473E1A}"/>
                </a:ext>
                <a:ext uri="{147F2762-F138-4A5C-976F-8EAC2B608ADB}">
                  <a16:predDERef xmlns:a16="http://schemas.microsoft.com/office/drawing/2014/main" pred="{4C565613-F64C-4483-BA55-54A5FC287876}"/>
                </a:ext>
              </a:extLst>
            </xdr:cNvPr>
            <xdr:cNvPicPr/>
          </xdr:nvPicPr>
          <xdr:blipFill>
            <a:blip xmlns:r="http://schemas.openxmlformats.org/officeDocument/2006/relationships" r:embed="rId12"/>
            <a:stretch>
              <a:fillRect/>
            </a:stretch>
          </xdr:blipFill>
          <xdr:spPr>
            <a:xfrm>
              <a:off x="4272769" y="7018093"/>
              <a:ext cx="1417973" cy="385030"/>
            </a:xfrm>
            <a:prstGeom prst="rect">
              <a:avLst/>
            </a:prstGeom>
          </xdr:spPr>
        </xdr:pic>
      </mc:Fallback>
    </mc:AlternateContent>
    <xdr:clientData/>
  </xdr:twoCellAnchor>
  <xdr:twoCellAnchor editAs="oneCell">
    <xdr:from>
      <xdr:col>26</xdr:col>
      <xdr:colOff>171450</xdr:colOff>
      <xdr:row>65</xdr:row>
      <xdr:rowOff>104775</xdr:rowOff>
    </xdr:from>
    <xdr:to>
      <xdr:col>28</xdr:col>
      <xdr:colOff>79375</xdr:colOff>
      <xdr:row>67</xdr:row>
      <xdr:rowOff>69850</xdr:rowOff>
    </xdr:to>
    <mc:AlternateContent xmlns:mc="http://schemas.openxmlformats.org/markup-compatibility/2006" xmlns:xdr14="http://schemas.microsoft.com/office/excel/2010/spreadsheetDrawing">
      <mc:Choice Requires="xdr14">
        <xdr:contentPart xmlns:r="http://schemas.openxmlformats.org/officeDocument/2006/relationships" r:id="rId13">
          <xdr14:nvContentPartPr>
            <xdr14:cNvPr id="8" name="Pennanteckning 7">
              <a:extLst>
                <a:ext uri="{FF2B5EF4-FFF2-40B4-BE49-F238E27FC236}">
                  <a16:creationId xmlns:a16="http://schemas.microsoft.com/office/drawing/2014/main" id="{FC31E9A0-25AB-4107-926B-1ED42D034B57}"/>
                </a:ext>
                <a:ext uri="{147F2762-F138-4A5C-976F-8EAC2B608ADB}">
                  <a16:predDERef xmlns:a16="http://schemas.microsoft.com/office/drawing/2014/main" pred="{CEA4D5BF-5833-4D87-A6C8-BE23B569F322}"/>
                </a:ext>
              </a:extLst>
            </xdr14:cNvPr>
            <xdr14:cNvContentPartPr/>
          </xdr14:nvContentPartPr>
          <xdr14:nvPr macro=""/>
          <xdr14:xfrm>
            <a:off x="12734925" y="13792200"/>
            <a:ext cx="612775" cy="327025"/>
          </xdr14:xfrm>
        </xdr:contentPart>
      </mc:Choice>
      <mc:Fallback xmlns="">
        <xdr:pic>
          <xdr:nvPicPr>
            <xdr:cNvPr id="10" name="">
              <a:extLst>
                <a:ext uri="{FF2B5EF4-FFF2-40B4-BE49-F238E27FC236}">
                  <a16:creationId xmlns:a16="http://schemas.microsoft.com/office/drawing/2014/main" id="{710C5889-454E-42C6-8A4C-91A45E9A2CA7}"/>
                </a:ext>
                <a:ext uri="{147F2762-F138-4A5C-976F-8EAC2B608ADB}">
                  <a16:predDERef xmlns:a16="http://schemas.microsoft.com/office/drawing/2014/main" pred="{29CB31A1-1A7C-4FC5-9FB8-13F7DA473E1A}"/>
                </a:ext>
              </a:extLst>
            </xdr:cNvPr>
            <xdr:cNvPicPr/>
          </xdr:nvPicPr>
          <xdr:blipFill>
            <a:blip xmlns:r="http://schemas.openxmlformats.org/officeDocument/2006/relationships" r:embed="rId14"/>
            <a:stretch>
              <a:fillRect/>
            </a:stretch>
          </xdr:blipFill>
          <xdr:spPr>
            <a:xfrm>
              <a:off x="4196557" y="7230507"/>
              <a:ext cx="760772" cy="636471"/>
            </a:xfrm>
            <a:prstGeom prst="rect">
              <a:avLst/>
            </a:prstGeom>
          </xdr:spPr>
        </xdr:pic>
      </mc:Fallback>
    </mc:AlternateContent>
    <xdr:clientData/>
  </xdr:twoCellAnchor>
  <xdr:twoCellAnchor editAs="oneCell">
    <xdr:from>
      <xdr:col>25</xdr:col>
      <xdr:colOff>0</xdr:colOff>
      <xdr:row>66</xdr:row>
      <xdr:rowOff>66675</xdr:rowOff>
    </xdr:from>
    <xdr:to>
      <xdr:col>31</xdr:col>
      <xdr:colOff>190500</xdr:colOff>
      <xdr:row>67</xdr:row>
      <xdr:rowOff>101600</xdr:rowOff>
    </xdr:to>
    <mc:AlternateContent xmlns:mc="http://schemas.openxmlformats.org/markup-compatibility/2006" xmlns:xdr14="http://schemas.microsoft.com/office/excel/2010/spreadsheetDrawing">
      <mc:Choice Requires="xdr14">
        <xdr:contentPart xmlns:r="http://schemas.openxmlformats.org/officeDocument/2006/relationships" r:id="rId15">
          <xdr14:nvContentPartPr>
            <xdr14:cNvPr id="9" name="Pennanteckning 8">
              <a:extLst>
                <a:ext uri="{FF2B5EF4-FFF2-40B4-BE49-F238E27FC236}">
                  <a16:creationId xmlns:a16="http://schemas.microsoft.com/office/drawing/2014/main" id="{FBED90DE-8E48-4D62-AD9F-C5E9DC9EB70A}"/>
                </a:ext>
                <a:ext uri="{147F2762-F138-4A5C-976F-8EAC2B608ADB}">
                  <a16:predDERef xmlns:a16="http://schemas.microsoft.com/office/drawing/2014/main" pred="{FC31E9A0-25AB-4107-926B-1ED42D034B57}"/>
                </a:ext>
              </a:extLst>
            </xdr14:cNvPr>
            <xdr14:cNvContentPartPr/>
          </xdr14:nvContentPartPr>
          <xdr14:nvPr macro=""/>
          <xdr14:xfrm>
            <a:off x="12211050" y="13935075"/>
            <a:ext cx="2305050" cy="215900"/>
          </xdr14:xfrm>
        </xdr:contentPart>
      </mc:Choice>
      <mc:Fallback xmlns="">
        <xdr:pic>
          <xdr:nvPicPr>
            <xdr:cNvPr id="11" name="">
              <a:extLst>
                <a:ext uri="{FF2B5EF4-FFF2-40B4-BE49-F238E27FC236}">
                  <a16:creationId xmlns:a16="http://schemas.microsoft.com/office/drawing/2014/main" id="{BED96B10-2032-4AEC-8802-74932F63E20A}"/>
                </a:ext>
                <a:ext uri="{147F2762-F138-4A5C-976F-8EAC2B608ADB}">
                  <a16:predDERef xmlns:a16="http://schemas.microsoft.com/office/drawing/2014/main" pred="{710C5889-454E-42C6-8A4C-91A45E9A2CA7}"/>
                </a:ext>
              </a:extLst>
            </xdr:cNvPr>
            <xdr:cNvPicPr/>
          </xdr:nvPicPr>
          <xdr:blipFill>
            <a:blip xmlns:r="http://schemas.openxmlformats.org/officeDocument/2006/relationships" r:embed="rId16"/>
            <a:stretch>
              <a:fillRect/>
            </a:stretch>
          </xdr:blipFill>
          <xdr:spPr>
            <a:xfrm>
              <a:off x="4091470" y="7743716"/>
              <a:ext cx="2389450" cy="457055"/>
            </a:xfrm>
            <a:prstGeom prst="rect">
              <a:avLst/>
            </a:prstGeom>
          </xdr:spPr>
        </xdr:pic>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31750</xdr:colOff>
      <xdr:row>0</xdr:row>
      <xdr:rowOff>52917</xdr:rowOff>
    </xdr:from>
    <xdr:to>
      <xdr:col>31</xdr:col>
      <xdr:colOff>530409</xdr:colOff>
      <xdr:row>57</xdr:row>
      <xdr:rowOff>83381</xdr:rowOff>
    </xdr:to>
    <xdr:pic>
      <xdr:nvPicPr>
        <xdr:cNvPr id="3" name="Picture 2">
          <a:extLst>
            <a:ext uri="{FF2B5EF4-FFF2-40B4-BE49-F238E27FC236}">
              <a16:creationId xmlns:a16="http://schemas.microsoft.com/office/drawing/2014/main" id="{B85A1285-1031-FD0E-ED61-E0265CB2DF1A}"/>
            </a:ext>
          </a:extLst>
        </xdr:cNvPr>
        <xdr:cNvPicPr>
          <a:picLocks noChangeAspect="1"/>
        </xdr:cNvPicPr>
      </xdr:nvPicPr>
      <xdr:blipFill>
        <a:blip xmlns:r="http://schemas.openxmlformats.org/officeDocument/2006/relationships" r:embed="rId1"/>
        <a:stretch>
          <a:fillRect/>
        </a:stretch>
      </xdr:blipFill>
      <xdr:spPr>
        <a:xfrm>
          <a:off x="31750" y="52917"/>
          <a:ext cx="19527492" cy="10285714"/>
        </a:xfrm>
        <a:prstGeom prst="rect">
          <a:avLst/>
        </a:prstGeom>
      </xdr:spPr>
    </xdr:pic>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0"/>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6699 1444 16383 0 0,'-8'0'0'0'0,"-9"0"0"0"0,-10 0 0 0 0,0-7 0 0 0,-3-3 0 0 0,-4 0 0 0 0,-4 3 0 0 0,-18 1 0 0 0,-6 3 0 0 0,-9 1 0 0 0,9-6 0 0 0,7-2 0 0 0,5 0 0 0 0,4 3 0 0 0,2 2 0 0 0,-7 2 0 0 0,-1 2 0 0 0,0 0 0 0 0,1 1 0 0 0,2 0 0 0 0,2 1 0 0 0,-6-1 0 0 0,-1 1 0 0 0,0-1 0 0 0,2 0 0 0 0,3 0 0 0 0,2 0 0 0 0,1 0 0 0 0,2 0 0 0 0,0 0 0 0 0,-8 0 0 0 0,-1 0 0 0 0,0 0 0 0 0,1 0 0 0 0,3 0 0 0 0,1 0 0 0 0,3 0 0 0 0,0 0 0 0 0,-7 0 0 0 0,-2 0 0 0 0,-6 0 0 0 0,-2 0 0 0 0,4 0 0 0 0,3 0 0 0 0,3 0 0 0 0,4 0 0 0 0,2 0 0 0 0,2 0 0 0 0,-7 0 0 0 0,-3 0 0 0 0,1 0 0 0 0,2 0 0 0 0,2 0 0 0 0,-6 0 0 0 0,0 0 0 0 0,-7 0 0 0 0,0 0 0 0 0,3 0 0 0 0,5 0 0 0 0,3 0 0 0 0,3 0 0 0 0,2 0 0 0 0,2 0 0 0 0,0 0 0 0 0,1 0 0 0 0,-1 0 0 0 0,1 0 0 0 0,-1 0 0 0 0,0 0 0 0 0,1 0 0 0 0,-2 0 0 0 0,-6 0 0 0 0,-3 0 0 0 0,0 0 0 0 0,2 0 0 0 0,3 0 0 0 0,1 0 0 0 0,10-8 0 0 0,3-2 0 0 0,0 1 0 0 0,-8 1 0 0 0,-6 3 0 0 0,0 1 0 0 0,-1 2 0 0 0,1 2 0 0 0,2 0 0 0 0,1 0 0 0 0,1 0 0 0 0,0 1 0 0 0,1-1 0 0 0,0 0 0 0 0,0 1 0 0 0,0-1 0 0 0,0 0 0 0 0,0 0 0 0 0,0 0 0 0 0,-7 0 0 0 0,-3 0 0 0 0,0 0 0 0 0,2 0 0 0 0,10-8 0 0 0,5-2 0 0 0,0 1 0 0 0,0 1 0 0 0,-2 2 0 0 0,-8 3 0 0 0,-5 1 0 0 0,-1 2 0 0 0,2-1 0 0 0,1 2 0 0 0,2-1 0 0 0,2 1 0 0 0,-7-1 0 0 0,-1 0 0 0 0,1 0 0 0 0,1 0 0 0 0,3 1 0 0 0,2-1 0 0 0,1-1 0 0 0,1 1 0 0 0,-6 8 0 0 0,-3 2 0 0 0,1 0 0 0 0,2-3 0 0 0,1 6 0 0 0,3 1 0 0 0,1-3 0 0 0,9 5 0 0 0,3-1 0 0 0,-8-2 0 0 0,4 4 0 0 0,0-2 0 0 0,-1-2 0 0 0,-1-4 0 0 0,-1-3 0 0 0,-1-4 0 0 0,6 7 0 0 0,10 1 0 0 0</inkml:trace>
  <inkml:trace contextRef="#ctx0" brushRef="#br0" timeOffset="1">6699 1975 16383 0 0,'-8'0'0'0'0,"-17"0"0"0"0,-19 0 0 0 0,-10 0 0 0 0,-11-7 0 0 0,-2-3 0 0 0,-4 0 0 0 0,-5 3 0 0 0,2 1 0 0 0,7 3 0 0 0,0 1 0 0 0,3 1 0 0 0,6 1 0 0 0,4 1 0 0 0,5-1 0 0 0,3 0 0 0 0,1 1 0 0 0,2-1 0 0 0,0 0 0 0 0,-1 0 0 0 0,1 0 0 0 0,0 0 0 0 0,-1 0 0 0 0,0 0 0 0 0,0 0 0 0 0,0 0 0 0 0,-8 0 0 0 0,-2 0 0 0 0,1 0 0 0 0,1 0 0 0 0,2 0 0 0 0,3 0 0 0 0,1 0 0 0 0,1 0 0 0 0,-7 0 0 0 0,-2 0 0 0 0,1 0 0 0 0,2 0 0 0 0,2 0 0 0 0,1 0 0 0 0,3-7 0 0 0,0-3 0 0 0,1 0 0 0 0,0 2 0 0 0,0-5 0 0 0,1 0 0 0 0,-1 2 0 0 0,0 2 0 0 0,0 4 0 0 0,0 2 0 0 0,-8 1 0 0 0,-2 2 0 0 0,1 0 0 0 0,1 1 0 0 0,2-1 0 0 0,3 1 0 0 0,1-1 0 0 0,1 1 0 0 0,-7-1 0 0 0,-2 0 0 0 0,1 0 0 0 0,2 0 0 0 0,2 0 0 0 0,1 0 0 0 0,3 0 0 0 0,-8 0 0 0 0,-1 0 0 0 0,1 0 0 0 0,2 0 0 0 0,2 0 0 0 0,1 0 0 0 0,3 0 0 0 0,0 0 0 0 0,-7 0 0 0 0,-1 0 0 0 0,-1 0 0 0 0,3 0 0 0 0,2 0 0 0 0,2 0 0 0 0,1 0 0 0 0,1 0 0 0 0,-7 0 0 0 0,-1 0 0 0 0,-1 0 0 0 0,3 0 0 0 0,2 0 0 0 0,1 0 0 0 0,3 0 0 0 0,-8 0 0 0 0,-1 0 0 0 0,1 0 0 0 0,2 0 0 0 0,2 0 0 0 0,1 0 0 0 0,3 0 0 0 0,0 7 0 0 0,-7 3 0 0 0,-1 0 0 0 0,-1-3 0 0 0,3-1 0 0 0,2-3 0 0 0,2-1 0 0 0,1-1 0 0 0,1-1 0 0 0,1 0 0 0 0,0-1 0 0 0,0 1 0 0 0,1-1 0 0 0,-1 9 0 0 0,0 2 0 0 0,0-1 0 0 0,0-1 0 0 0,-8-3 0 0 0,-2-1 0 0 0,1-3 0 0 0,1 0 0 0 0,2-1 0 0 0,3 0 0 0 0,1-1 0 0 0,1 1 0 0 0,-7 0 0 0 0,-1-1 0 0 0,-1 1 0 0 0,11 8 0 0 0,3 2 0 0 0,3-1 0 0 0,-2-1 0 0 0,0-3 0 0 0,-2-1 0 0 0,-1-2 0 0 0,-1-2 0 0 0,0 0 0 0 0,-1 0 0 0 0,-1 0 0 0 0,1-1 0 0 0,7 1 0 0 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3"/>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12773 251 16383 0 0,'-8'0'0'0'0,"-9"0"0"0"0,-10 0 0 0 0,-8 0 0 0 0,-5 0 0 0 0,-3 0 0 0 0,-10 0 0 0 0,-2 0 0 0 0,-1 0 0 0 0,3 0 0 0 0,2 0 0 0 0,3 0 0 0 0,2 0 0 0 0,1 0 0 0 0,1 0 0 0 0,-7 0 0 0 0,-2 0 0 0 0,0 0 0 0 0,2 0 0 0 0,2 0 0 0 0,2 0 0 0 0,1 0 0 0 0,1 0 0 0 0,1 0 0 0 0,1 0 0 0 0,-1 0 0 0 0,1 0 0 0 0,-1 0 0 0 0,0 0 0 0 0,0 0 0 0 0,-14 0 0 0 0,-6 0 0 0 0,1 0 0 0 0,4 0 0 0 0,4 0 0 0 0,4 0 0 0 0,3 0 0 0 0,3 0 0 0 0,-6 0 0 0 0,-3-7 0 0 0,2-1 0 0 0,1-1 0 0 0,2 3 0 0 0,2 1 0 0 0,2 2 0 0 0,1 2 0 0 0,0 0 0 0 0,0 1 0 0 0,0 0 0 0 0,1 1 0 0 0,-1-1 0 0 0,-7-6 0 0 0,-3-3 0 0 0,-7 1 0 0 0,0 2 0 0 0,2 1 0 0 0,4 2 0 0 0,4 1 0 0 0,3 2 0 0 0,9 0 0 0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4"/>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2564 8115 16383 0 0,'-7'-7'0'0'0,"-11"-1"0"0"0,-1-6 0 0 0,-6-1 0 0 0,-6 2 0 0 0,-5 4 0 0 0,-3 3 0 0 0,-12 2 0 0 0,-3 3 0 0 0,0 0 0 0 0,1 2 0 0 0,2-1 0 0 0,3 1 0 0 0,1 0 0 0 0,2-1 0 0 0,1 0 0 0 0,0 0 0 0 0,0 1 0 0 0,0-1 0 0 0,1 0 0 0 0,-1 0 0 0 0,0-1 0 0 0,0 1 0 0 0,-8 0 0 0 0,-2 0 0 0 0,1 0 0 0 0,1 0 0 0 0,2 0 0 0 0,3 0 0 0 0,1 0 0 0 0,1 0 0 0 0,-7 0 0 0 0,-2 0 0 0 0,1 0 0 0 0,2 0 0 0 0,2 0 0 0 0,1 0 0 0 0,3 0 0 0 0,-8 0 0 0 0,-1 0 0 0 0,1 0 0 0 0,2 0 0 0 0,1 0 0 0 0,3 0 0 0 0,1 0 0 0 0,2 0 0 0 0,-8 0 0 0 0,-2 0 0 0 0,1 0 0 0 0,2 0 0 0 0,2 0 0 0 0,1 0 0 0 0,2 0 0 0 0,2 0 0 0 0,7 0 0 0 0</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6"/>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2511 8347 16383 0 0,'-15'0'0'0'0,"-12"0"0"0"0,-9 0 0 0 0,-7 0 0 0 0,-2 0 0 0 0,-9 0 0 0 0,-3 0 0 0 0,1 0 0 0 0,2 0 0 0 0,-4 0 0 0 0,0 0 0 0 0,2 0 0 0 0,-4 0 0 0 0,1 0 0 0 0,3 0 0 0 0,3 0 0 0 0,3 0 0 0 0,3 0 0 0 0,2 0 0 0 0,1 0 0 0 0,-7 0 0 0 0,-2 0 0 0 0,0 0 0 0 0,2 0 0 0 0,2 0 0 0 0,2 0 0 0 0,1 0 0 0 0,-6 0 0 0 0,-2 0 0 0 0,1 0 0 0 0,2 0 0 0 0,2 0 0 0 0,2 0 0 0 0,1 0 0 0 0,2 0 0 0 0,-8 0 0 0 0,-1 0 0 0 0,0 0 0 0 0,1 0 0 0 0,3 0 0 0 0,2 0 0 0 0,2 0 0 0 0,0 0 0 0 0,1 0 0 0 0,8-7 0 0 0,2-3 0 0 0,0 0 0 0 0,-2 3 0 0 0,-10 2 0 0 0,-4 1 0 0 0,6 2 0 0 0</inkml:trace>
  <inkml:trace contextRef="#ctx0" brushRef="#br0" timeOffset="1">2555 8910 16383 0 0,'-15'0'0'0'0,"-34"-7"0"0"0,-55-3 0 0 0,-24 1 0 0 0,-5-6 0 0 0,12 0 0 0 0,5 2 0 0 0,6 4 0 0 0,16 3 0 0 0,7 2 0 0 0,5 3 0 0 0,8 0 0 0 0,-13 2 0 0 0,1-1 0 0 0,7 1 0 0 0,3 0 0 0 0,6-1 0 0 0,1 0 0 0 0,3 0 0 0 0,7 1 0 0 0,5-1 0 0 0,5 0 0 0 0,3 0 0 0 0,1 0 0 0 0,-5-1 0 0 0,-3 1 0 0 0,1 0 0 0 0,1 0 0 0 0,2 0 0 0 0,2 0 0 0 0,2 0 0 0 0,0 0 0 0 0,-6 0 0 0 0,4 8 0 0 0,4 2 0 0 0,2-1 0 0 0,-1-2 0 0 0,0-1 0 0 0,8-3 0 0 0</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7"/>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3499 8850 16383 0 0,'-8'0'0'0'0,"-9"0"0"0"0,-10 0 0 0 0,-8 0 0 0 0,-5 0 0 0 0,-3 0 0 0 0,-10 0 0 0 0,-3 0 0 0 0,1 0 0 0 0,1 0 0 0 0,4 0 0 0 0,-6 0 0 0 0,-8 0 0 0 0,0 0 0 0 0,3 0 0 0 0,4 0 0 0 0,5 0 0 0 0,3 0 0 0 0,3 0 0 0 0,1 0 0 0 0,-6 0 0 0 0,-2 0 0 0 0,0 0 0 0 0,2 0 0 0 0,2 0 0 0 0,2 0 0 0 0,2 0 0 0 0,0 0 0 0 0,-7 0 0 0 0,-1 0 0 0 0,0 0 0 0 0,1 0 0 0 0,3 0 0 0 0,9 9 0 0 0,5 2 0 0 0,-1-1 0 0 0,-8-1 0 0 0,-4-3 0 0 0,-2-2 0 0 0,1-2 0 0 0,0-1 0 0 0,2-1 0 0 0,1-1 0 0 0,1 1 0 0 0,1-1 0 0 0,-8 1 0 0 0,-2 0 0 0 0,1 0 0 0 0,1 0 0 0 0,3-1 0 0 0,2 1 0 0 0,1 0 0 0 0,1 1 0 0 0,1-1 0 0 0,1 0 0 0 0,-1 0 0 0 0,0 0 0 0 0,1 0 0 0 0,-1 0 0 0 0,0 0 0 0 0,0 0 0 0 0,-8 0 0 0 0,-2 0 0 0 0,1 0 0 0 0,1 0 0 0 0,3 0 0 0 0,1 0 0 0 0,2 0 0 0 0,1 0 0 0 0,-6 0 0 0 0,-3 0 0 0 0,1 0 0 0 0,2 0 0 0 0,9 0 0 0 0</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28"/>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8286 8070 16383 0 0,'-7'0'0'0'0,"-11"0"0"0"0,-9-8 0 0 0,-8-3 0 0 0,-5 1 0 0 0,-3 2 0 0 0,-10 2 0 0 0,-3 3 0 0 0,1 1 0 0 0,-6 1 0 0 0,0 1 0 0 0,3 0 0 0 0,4 1 0 0 0,-11-1 0 0 0,-3 0 0 0 0,4 1 0 0 0,4-1 0 0 0,-2 0 0 0 0,2 0 0 0 0,-4 0 0 0 0,2 0 0 0 0,3 0 0 0 0,5 0 0 0 0,3 0 0 0 0,4 0 0 0 0,2 0 0 0 0,1 0 0 0 0,-7 0 0 0 0,-2 0 0 0 0,0 0 0 0 0,2 0 0 0 0,2 0 0 0 0,1 8 0 0 0,3 2 0 0 0,-8 0 0 0 0,-8-1 0 0 0,-3-4 0 0 0,4-1 0 0 0,3-2 0 0 0,4-1 0 0 0,-11-1 0 0 0,-2-1 0 0 0,2 1 0 0 0,5-1 0 0 0,5 1 0 0 0,3 0 0 0 0,4 0 0 0 0,3 0 0 0 0,-8 0 0 0 0,-1 0 0 0 0,0 0 0 0 0,3 0 0 0 0,1 0 0 0 0,2 0 0 0 0,1 0 0 0 0,1 0 0 0 0,-6 0 0 0 0,-3 0 0 0 0,1 0 0 0 0,-6 0 0 0 0,0 0 0 0 0,2 0 0 0 0,3 0 0 0 0,4 0 0 0 0,3 0 0 0 0,9 0 0 0 0</inkml:trace>
</inkml:ink>
</file>

<file path=xl/ink/ink7.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30"/>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6290 8322 16383 0 0,'-8'0'0'0'0,"-9"0"0"0"0,-10 0 0 0 0,-8 0 0 0 0,-4 0 0 0 0,-20 0 0 0 0,-6 0 0 0 0,0 0 0 0 0,4 0 0 0 0,5 0 0 0 0,4 0 0 0 0,4 0 0 0 0,2 0 0 0 0,2 0 0 0 0,1 0 0 0 0,0 0 0 0 0,-1 0 0 0 0,1 0 0 0 0,0 0 0 0 0,-1 0 0 0 0,8-7 0 0 0,2-3 0 0 0,-8 0 0 0 0,-4 3 0 0 0,-2 1 0 0 0,0 3 0 0 0,0 1 0 0 0,1 2 0 0 0,2-1 0 0 0,0 2 0 0 0,-7-1 0 0 0,5-7 0 0 0,12-2 0 0 0</inkml:trace>
  <inkml:trace contextRef="#ctx0" brushRef="#br0" timeOffset="1">6378 8980 16383 0 0,'-15'0'0'0'0,"-20"0"0"0"0,-19 0 0 0 0,-7 7 0 0 0,-9 3 0 0 0,0 0 0 0 0,-3-3 0 0 0,4-1 0 0 0,6-3 0 0 0,6-1 0 0 0,5-1 0 0 0,-3-1 0 0 0,0-1 0 0 0,2 1 0 0 0,3-1 0 0 0,1 1 0 0 0,3 0 0 0 0,1 0 0 0 0,1 0 0 0 0,-7 0 0 0 0,-2 0 0 0 0,0 0 0 0 0,2 0 0 0 0,2 0 0 0 0,2 0 0 0 0,1 0 0 0 0,1 0 0 0 0,-6 0 0 0 0,-3 0 0 0 0,1 0 0 0 0,10 0 0 0 0</inkml:trace>
</inkml:ink>
</file>

<file path=xl/ink/ink8.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channel name="OA" type="integer" max="360" units="deg"/>
          <inkml:channel name="OE" type="integer" max="90" units="deg"/>
        </inkml:traceFormat>
        <inkml:channelProperties>
          <inkml:channelProperty channel="X" name="resolution" value="1000" units="1/cm"/>
          <inkml:channelProperty channel="Y" name="resolution" value="1000" units="1/cm"/>
          <inkml:channelProperty channel="F" name="resolution" value="0" units="1/dev"/>
          <inkml:channelProperty channel="OA" name="resolution" value="1000" units="1/deg"/>
          <inkml:channelProperty channel="OE" name="resolution" value="1000" units="1/deg"/>
        </inkml:channelProperties>
      </inkml:inkSource>
      <inkml:timestamp xml:id="ts0" timeString="2022-11-10T12:55:27.331"/>
    </inkml:context>
    <inkml:brush xml:id="br0">
      <inkml:brushProperty name="width" value="0.5" units="cm"/>
      <inkml:brushProperty name="height" value="1" units="cm"/>
      <inkml:brushProperty name="color" value="#FFFC00"/>
      <inkml:brushProperty name="tip" value="rectangle"/>
      <inkml:brushProperty name="rasterOp" value="maskPen"/>
    </inkml:brush>
  </inkml:definitions>
  <inkml:trace contextRef="#ctx0" brushRef="#br0">10789 9094 16383 0 0,'-22'0'0'0'0,"-23"0"0"0"0,-11 0 0 0 0,-3 0 0 0 0,-8 0 0 0 0,2 0 0 0 0,3 0 0 0 0,5 0 0 0 0,5 0 0 0 0,-4 0 0 0 0,0 0 0 0 0,-6 0 0 0 0,-6 0 0 0 0,0 0 0 0 0,4 0 0 0 0,6 0 0 0 0,5 0 0 0 0,4 0 0 0 0,-5 0 0 0 0,0 0 0 0 0,1 0 0 0 0,2 0 0 0 0,3 0 0 0 0,1 0 0 0 0,2 0 0 0 0,-7 0 0 0 0,-2 0 0 0 0,1 0 0 0 0,1 0 0 0 0,3 0 0 0 0,2 0 0 0 0,1-7 0 0 0,2-3 0 0 0,-8 1 0 0 0,-2 1 0 0 0,1-4 0 0 0,2-2 0 0 0,1 3 0 0 0,3-4 0 0 0,1 0 0 0 0,2 2 0 0 0,-8 4 0 0 0,-2 4 0 0 0,1 2 0 0 0,2 1 0 0 0,1 2 0 0 0,3 1 0 0 0,1-1 0 0 0,-6 1 0 0 0,-2-8 0 0 0,1-2 0 0 0,1 0 0 0 0,3 1 0 0 0,2 3 0 0 0,1 2 0 0 0,2 1 0 0 0,-8 1 0 0 0,-2 1 0 0 0,1 1 0 0 0,2-1 0 0 0,2 0 0 0 0,1-7 0 0 0,3-2 0 0 0,0 0 0 0 0,-7 1 0 0 0,-1 3 0 0 0,-1-6 0 0 0,3 0 0 0 0,2 1 0 0 0,1 2 0 0 0,3 3 0 0 0,-8 2 0 0 0,-1 2 0 0 0,1 0 0 0 0,2 1 0 0 0,2 1 0 0 0,1-1 0 0 0,3 1 0 0 0,0-1 0 0 0,-7 0 0 0 0,-1 1 0 0 0,-1-1 0 0 0,3 0 0 0 0,2 0 0 0 0,2 0 0 0 0,-7 0 0 0 0,0 0 0 0 0,-8 0 0 0 0,1 0 0 0 0,2 0 0 0 0,5 0 0 0 0,3 0 0 0 0,3 0 0 0 0,2 0 0 0 0,-6 0 0 0 0,-2 0 0 0 0,1 0 0 0 0,2 0 0 0 0,2 0 0 0 0,2 0 0 0 0,2 0 0 0 0,0 0 0 0 0,9 7 0 0 0,-6 3 0 0 0,-2-1 0 0 0,-1 6 0 0 0,-1 0 0 0 0,0-2 0 0 0,0-4 0 0 0,1-3 0 0 0,0-3 0 0 0,-7-1 0 0 0,-2-2 0 0 0,0 0 0 0 0,3-1 0 0 0,1 0 0 0 0,3 1 0 0 0,1-1 0 0 0,-6 1 0 0 0,5 7 0 0 0,11 3 0 0 0</inkml:trace>
</inkm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lamp" displayName="Clamp" ref="B30:I36" totalsRowShown="0" headerRowDxfId="397" dataDxfId="395" headerRowBorderDxfId="396">
  <autoFilter ref="B30:I36" xr:uid="{00000000-0009-0000-0100-000001000000}"/>
  <tableColumns count="8">
    <tableColumn id="1" xr3:uid="{00000000-0010-0000-0000-000001000000}" name="WorkHours" dataDxfId="394"/>
    <tableColumn id="2" xr3:uid="{00000000-0010-0000-0000-000002000000}" name="Holiday" dataDxfId="393"/>
    <tableColumn id="3" xr3:uid="{00000000-0010-0000-0000-000003000000}" name="Date" dataDxfId="392"/>
    <tableColumn id="4" xr3:uid="{00000000-0010-0000-0000-000004000000}" name="Weekday" dataDxfId="391">
      <calculatedColumnFormula>CHOOSE(WEEKDAY(Clamp[[#This Row],[DateInYear]],2),"Mon","Tue","Wed","Thu","Fri","Sat","Sun")</calculatedColumnFormula>
    </tableColumn>
    <tableColumn id="5" xr3:uid="{00000000-0010-0000-0000-000005000000}" name="DateInYear" dataDxfId="390">
      <calculatedColumnFormula>DATEVALUE(Clamp[[#This Row],[Year]]&amp;"-"&amp;Clamp[[#This Row],[Month]]&amp;"-"&amp;Clamp[[#This Row],[Day]])</calculatedColumnFormula>
    </tableColumn>
    <tableColumn id="6" xr3:uid="{00000000-0010-0000-0000-000006000000}" name="Year" dataDxfId="389">
      <calculatedColumnFormula>AloxÅr</calculatedColumnFormula>
    </tableColumn>
    <tableColumn id="7" xr3:uid="{00000000-0010-0000-0000-000007000000}" name="Month" dataDxfId="388">
      <calculatedColumnFormula>+VLOOKUP(LEFT(Clamp[[#This Row],[Date]],3),$M$4:$N$15,2,0)</calculatedColumnFormula>
    </tableColumn>
    <tableColumn id="8" xr3:uid="{00000000-0010-0000-0000-000008000000}" name="Day" dataDxfId="387">
      <calculatedColumnFormula>IF(LEN(Clamp[[#This Row],[Date]])=6,RIGHT(Clamp[[#This Row],[Date]],2),RIGHT(Clamp[[#This Row],[Date]],1))</calculatedColumnFormula>
    </tableColumn>
  </tableColumns>
  <tableStyleInfo name="TableStyleMedium9"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hortened" displayName="Shortened" ref="B22:I27" totalsRowShown="0" headerRowDxfId="386" dataDxfId="384" headerRowBorderDxfId="385">
  <autoFilter ref="B22:I27" xr:uid="{00000000-0009-0000-0100-000002000000}"/>
  <tableColumns count="8">
    <tableColumn id="1" xr3:uid="{00000000-0010-0000-0100-000001000000}" name="WorkHours" dataDxfId="383"/>
    <tableColumn id="2" xr3:uid="{00000000-0010-0000-0100-000002000000}" name="Holiday" dataDxfId="382"/>
    <tableColumn id="3" xr3:uid="{00000000-0010-0000-0100-000003000000}" name="Date"/>
    <tableColumn id="4" xr3:uid="{00000000-0010-0000-0100-000004000000}" name="Weekday" dataDxfId="381">
      <calculatedColumnFormula>CHOOSE(WEEKDAY(Shortened[[#This Row],[DateInYear]],2),"Mon","Tue","Wed","Thu","Fri","Sat","Sun")</calculatedColumnFormula>
    </tableColumn>
    <tableColumn id="5" xr3:uid="{00000000-0010-0000-0100-000005000000}" name="DateInYear" dataDxfId="380">
      <calculatedColumnFormula>DATEVALUE(Shortened[[#This Row],[Year]]&amp;"-"&amp;Shortened[[#This Row],[Month]]&amp;"-"&amp;Shortened[[#This Row],[Day]])</calculatedColumnFormula>
    </tableColumn>
    <tableColumn id="6" xr3:uid="{00000000-0010-0000-0100-000006000000}" name="Year" dataDxfId="379">
      <calculatedColumnFormula>AloxÅr</calculatedColumnFormula>
    </tableColumn>
    <tableColumn id="7" xr3:uid="{00000000-0010-0000-0100-000007000000}" name="Month" dataDxfId="378">
      <calculatedColumnFormula>+VLOOKUP(LEFT(Shortened[[#This Row],[Date]],3),$M$4:$N$15,2,0)</calculatedColumnFormula>
    </tableColumn>
    <tableColumn id="8" xr3:uid="{00000000-0010-0000-0100-000008000000}" name="Day" dataDxfId="377">
      <calculatedColumnFormula>IF(LEN(Shortened[[#This Row],[Date]])=6,RIGHT(Shortened[[#This Row],[Date]],2),RIGHT(Shortened[[#This Row],[Date]],1))</calculatedColumnFormula>
    </tableColumn>
  </tableColumns>
  <tableStyleInfo name="TableStyleMedium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Fixed_dates" displayName="Fixed_dates" ref="B11:I19" totalsRowShown="0" headerRowDxfId="376" dataDxfId="374" headerRowBorderDxfId="375">
  <autoFilter ref="B11:I19" xr:uid="{00000000-0009-0000-0100-000003000000}"/>
  <tableColumns count="8">
    <tableColumn id="1" xr3:uid="{00000000-0010-0000-0200-000001000000}" name="WorkHours" dataDxfId="373"/>
    <tableColumn id="2" xr3:uid="{00000000-0010-0000-0200-000002000000}" name="Holiday" dataDxfId="372"/>
    <tableColumn id="3" xr3:uid="{00000000-0010-0000-0200-000003000000}" name="Date" dataDxfId="371"/>
    <tableColumn id="4" xr3:uid="{00000000-0010-0000-0200-000004000000}" name="Weekday" dataDxfId="370">
      <calculatedColumnFormula>CHOOSE(WEEKDAY(Fixed_dates[[#This Row],[DateInYear]],2),"Mon","Tue","Wed","Thu","Fri","Sat","Sun")</calculatedColumnFormula>
    </tableColumn>
    <tableColumn id="5" xr3:uid="{00000000-0010-0000-0200-000005000000}" name="DateInYear" dataDxfId="369">
      <calculatedColumnFormula>DATEVALUE(Fixed_dates[[#This Row],[Year]]&amp;"-"&amp;Fixed_dates[[#This Row],[Month]]&amp;"-"&amp;Fixed_dates[[#This Row],[Day]])</calculatedColumnFormula>
    </tableColumn>
    <tableColumn id="6" xr3:uid="{00000000-0010-0000-0200-000006000000}" name="Year" dataDxfId="368">
      <calculatedColumnFormula>AloxÅr</calculatedColumnFormula>
    </tableColumn>
    <tableColumn id="7" xr3:uid="{00000000-0010-0000-0200-000007000000}" name="Month" dataDxfId="367">
      <calculatedColumnFormula>+VLOOKUP(LEFT(Fixed_dates[[#This Row],[Date]],3),$M$4:$N$15,2,0)</calculatedColumnFormula>
    </tableColumn>
    <tableColumn id="8" xr3:uid="{00000000-0010-0000-0200-000008000000}" name="Day" dataDxfId="366">
      <calculatedColumnFormula>IF(LEN(Fixed_dates[[#This Row],[Date]])=6,RIGHT(Fixed_dates[[#This Row],[Date]],2),RIGHT(Fixed_dates[[#This Row],[Date]],1))</calculatedColumnFormula>
    </tableColumn>
  </tableColumns>
  <tableStyleInfo name="TableStyleMedium9"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Fixed_weekdays" displayName="Fixed_weekdays" ref="B4:I8" totalsRowShown="0" headerRowDxfId="365">
  <autoFilter ref="B4:I8" xr:uid="{00000000-0009-0000-0100-000004000000}"/>
  <tableColumns count="8">
    <tableColumn id="1" xr3:uid="{00000000-0010-0000-0300-000001000000}" name="WorkHours" dataDxfId="364"/>
    <tableColumn id="2" xr3:uid="{00000000-0010-0000-0300-000002000000}" name="Holiday"/>
    <tableColumn id="3" xr3:uid="{00000000-0010-0000-0300-000003000000}" name="Date"/>
    <tableColumn id="4" xr3:uid="{00000000-0010-0000-0300-000004000000}" name="Weekday" dataDxfId="363">
      <calculatedColumnFormula>CHOOSE(WEEKDAY(Fixed_weekdays[[#This Row],[DateInYear]],2),"Mon","Tue","Wed","Thu","Fri","Sat","Sun")</calculatedColumnFormula>
    </tableColumn>
    <tableColumn id="5" xr3:uid="{00000000-0010-0000-0300-000005000000}" name="DateInYear" dataDxfId="362">
      <calculatedColumnFormula>DATEVALUE(Fixed_weekdays[[#This Row],[Year]]&amp;"-"&amp;Fixed_weekdays[[#This Row],[Month]]&amp;"-"&amp;Fixed_weekdays[[#This Row],[Day]])</calculatedColumnFormula>
    </tableColumn>
    <tableColumn id="6" xr3:uid="{00000000-0010-0000-0300-000006000000}" name="Year" dataDxfId="361">
      <calculatedColumnFormula>AloxÅr</calculatedColumnFormula>
    </tableColumn>
    <tableColumn id="7" xr3:uid="{00000000-0010-0000-0300-000007000000}" name="Month" dataDxfId="360">
      <calculatedColumnFormula>+VLOOKUP(LEFT(Clamp[[#This Row],[Date]],3),$M$4:$N$15,2,0)</calculatedColumnFormula>
    </tableColumn>
    <tableColumn id="8" xr3:uid="{00000000-0010-0000-0300-000008000000}" name="Day" dataDxfId="359">
      <calculatedColumnFormula>IF(LEN(Clamp[[#This Row],[Date]])=6,RIGHT(Clamp[[#This Row],[Date]],2),RIGHT(Clamp[[#This Row],[Date]],1))</calculatedColumnFormula>
    </tableColumn>
  </tableColumns>
  <tableStyleInfo name="TableStyleMedium9"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comments" Target="../comments3.xml"/><Relationship Id="rId2" Type="http://schemas.openxmlformats.org/officeDocument/2006/relationships/vmlDrawing" Target="../drawings/vmlDrawing17.vml"/><Relationship Id="rId1" Type="http://schemas.openxmlformats.org/officeDocument/2006/relationships/printerSettings" Target="../printerSettings/printerSettings18.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5">
    <tabColor rgb="FFFF0000"/>
    <pageSetUpPr fitToPage="1"/>
  </sheetPr>
  <dimension ref="B1:I41"/>
  <sheetViews>
    <sheetView showGridLines="0" showRowColHeaders="0" zoomScale="70" zoomScaleNormal="70" workbookViewId="0"/>
  </sheetViews>
  <sheetFormatPr defaultRowHeight="14.5" x14ac:dyDescent="0.35"/>
  <cols>
    <col min="1" max="1" width="3.453125" customWidth="1"/>
    <col min="3" max="3" width="68.1796875" customWidth="1"/>
    <col min="4" max="4" width="1.1796875" customWidth="1"/>
    <col min="8" max="8" width="55" customWidth="1"/>
  </cols>
  <sheetData>
    <row r="1" spans="2:9" ht="15" thickBot="1" x14ac:dyDescent="0.4"/>
    <row r="2" spans="2:9" ht="24" thickBot="1" x14ac:dyDescent="0.4">
      <c r="B2" s="226" t="s">
        <v>264</v>
      </c>
      <c r="C2" s="227"/>
      <c r="D2" s="227"/>
      <c r="E2" s="227"/>
      <c r="F2" s="227"/>
      <c r="G2" s="227"/>
      <c r="H2" s="228"/>
    </row>
    <row r="3" spans="2:9" ht="15" thickBot="1" x14ac:dyDescent="0.4">
      <c r="B3" s="229"/>
      <c r="C3" s="229"/>
      <c r="D3" s="230"/>
      <c r="E3" s="229"/>
      <c r="F3" s="229"/>
      <c r="G3" s="229"/>
      <c r="H3" s="229"/>
    </row>
    <row r="4" spans="2:9" ht="15" customHeight="1" x14ac:dyDescent="0.35">
      <c r="B4" s="231" t="s">
        <v>253</v>
      </c>
      <c r="C4" s="232"/>
      <c r="D4" s="36"/>
      <c r="E4" s="237" t="s">
        <v>265</v>
      </c>
      <c r="F4" s="238"/>
      <c r="G4" s="238"/>
      <c r="H4" s="232"/>
      <c r="I4" s="7"/>
    </row>
    <row r="5" spans="2:9" ht="15" customHeight="1" x14ac:dyDescent="0.35">
      <c r="B5" s="233"/>
      <c r="C5" s="234"/>
      <c r="D5" s="36"/>
      <c r="E5" s="233"/>
      <c r="F5" s="239"/>
      <c r="G5" s="239"/>
      <c r="H5" s="234"/>
      <c r="I5" s="7"/>
    </row>
    <row r="6" spans="2:9" ht="15" customHeight="1" x14ac:dyDescent="0.35">
      <c r="B6" s="233"/>
      <c r="C6" s="234"/>
      <c r="D6" s="36"/>
      <c r="E6" s="233"/>
      <c r="F6" s="239"/>
      <c r="G6" s="239"/>
      <c r="H6" s="234"/>
      <c r="I6" s="7"/>
    </row>
    <row r="7" spans="2:9" ht="15" customHeight="1" x14ac:dyDescent="0.35">
      <c r="B7" s="233"/>
      <c r="C7" s="234"/>
      <c r="D7" s="142"/>
      <c r="E7" s="233"/>
      <c r="F7" s="239"/>
      <c r="G7" s="239"/>
      <c r="H7" s="234"/>
      <c r="I7" s="7"/>
    </row>
    <row r="8" spans="2:9" ht="15" customHeight="1" x14ac:dyDescent="0.35">
      <c r="B8" s="233"/>
      <c r="C8" s="234"/>
      <c r="D8" s="36"/>
      <c r="E8" s="233"/>
      <c r="F8" s="239"/>
      <c r="G8" s="239"/>
      <c r="H8" s="234"/>
      <c r="I8" s="7"/>
    </row>
    <row r="9" spans="2:9" ht="15" customHeight="1" x14ac:dyDescent="0.35">
      <c r="B9" s="233"/>
      <c r="C9" s="234"/>
      <c r="D9" s="142"/>
      <c r="E9" s="233"/>
      <c r="F9" s="239"/>
      <c r="G9" s="239"/>
      <c r="H9" s="234"/>
      <c r="I9" s="7"/>
    </row>
    <row r="10" spans="2:9" ht="15" customHeight="1" x14ac:dyDescent="0.35">
      <c r="B10" s="233"/>
      <c r="C10" s="234"/>
      <c r="D10" s="36"/>
      <c r="E10" s="233"/>
      <c r="F10" s="239"/>
      <c r="G10" s="239"/>
      <c r="H10" s="234"/>
      <c r="I10" s="7"/>
    </row>
    <row r="11" spans="2:9" ht="15" customHeight="1" x14ac:dyDescent="0.35">
      <c r="B11" s="233"/>
      <c r="C11" s="234"/>
      <c r="D11" s="143"/>
      <c r="E11" s="233"/>
      <c r="F11" s="239"/>
      <c r="G11" s="239"/>
      <c r="H11" s="234"/>
      <c r="I11" s="7"/>
    </row>
    <row r="12" spans="2:9" ht="15" customHeight="1" x14ac:dyDescent="0.35">
      <c r="B12" s="233"/>
      <c r="C12" s="234"/>
      <c r="D12" s="143"/>
      <c r="E12" s="233"/>
      <c r="F12" s="239"/>
      <c r="G12" s="239"/>
      <c r="H12" s="234"/>
      <c r="I12" s="7"/>
    </row>
    <row r="13" spans="2:9" ht="15" customHeight="1" x14ac:dyDescent="0.35">
      <c r="B13" s="233"/>
      <c r="C13" s="234"/>
      <c r="D13" s="143"/>
      <c r="E13" s="233"/>
      <c r="F13" s="239"/>
      <c r="G13" s="239"/>
      <c r="H13" s="234"/>
      <c r="I13" s="7"/>
    </row>
    <row r="14" spans="2:9" ht="15" customHeight="1" x14ac:dyDescent="0.35">
      <c r="B14" s="233"/>
      <c r="C14" s="234"/>
      <c r="D14" s="143"/>
      <c r="E14" s="233"/>
      <c r="F14" s="239"/>
      <c r="G14" s="239"/>
      <c r="H14" s="234"/>
      <c r="I14" s="7"/>
    </row>
    <row r="15" spans="2:9" ht="15" customHeight="1" x14ac:dyDescent="0.35">
      <c r="B15" s="233"/>
      <c r="C15" s="234"/>
      <c r="D15" s="36"/>
      <c r="E15" s="233"/>
      <c r="F15" s="239"/>
      <c r="G15" s="239"/>
      <c r="H15" s="234"/>
      <c r="I15" s="7"/>
    </row>
    <row r="16" spans="2:9" ht="15" customHeight="1" x14ac:dyDescent="0.35">
      <c r="B16" s="233"/>
      <c r="C16" s="234"/>
      <c r="D16" s="36"/>
      <c r="E16" s="233"/>
      <c r="F16" s="239"/>
      <c r="G16" s="239"/>
      <c r="H16" s="234"/>
      <c r="I16" s="7"/>
    </row>
    <row r="17" spans="2:9" ht="15" customHeight="1" x14ac:dyDescent="0.35">
      <c r="B17" s="233"/>
      <c r="C17" s="234"/>
      <c r="D17" s="36"/>
      <c r="E17" s="233"/>
      <c r="F17" s="239"/>
      <c r="G17" s="239"/>
      <c r="H17" s="234"/>
      <c r="I17" s="7"/>
    </row>
    <row r="18" spans="2:9" ht="15" customHeight="1" x14ac:dyDescent="0.35">
      <c r="B18" s="233"/>
      <c r="C18" s="234"/>
      <c r="D18" s="143"/>
      <c r="E18" s="233"/>
      <c r="F18" s="239"/>
      <c r="G18" s="239"/>
      <c r="H18" s="234"/>
      <c r="I18" s="7"/>
    </row>
    <row r="19" spans="2:9" ht="15" customHeight="1" thickBot="1" x14ac:dyDescent="0.4">
      <c r="B19" s="235"/>
      <c r="C19" s="236"/>
      <c r="D19" s="143"/>
      <c r="E19" s="233"/>
      <c r="F19" s="239"/>
      <c r="G19" s="239"/>
      <c r="H19" s="234"/>
      <c r="I19" s="7"/>
    </row>
    <row r="20" spans="2:9" ht="15" customHeight="1" thickBot="1" x14ac:dyDescent="0.4">
      <c r="B20" s="170"/>
      <c r="C20" s="170"/>
      <c r="D20" s="36"/>
      <c r="E20" s="233"/>
      <c r="F20" s="239"/>
      <c r="G20" s="239"/>
      <c r="H20" s="234"/>
      <c r="I20" s="7"/>
    </row>
    <row r="21" spans="2:9" ht="15" customHeight="1" x14ac:dyDescent="0.35">
      <c r="B21" s="237" t="s">
        <v>266</v>
      </c>
      <c r="C21" s="232"/>
      <c r="D21" s="36"/>
      <c r="E21" s="233"/>
      <c r="F21" s="239"/>
      <c r="G21" s="239"/>
      <c r="H21" s="234"/>
      <c r="I21" s="7"/>
    </row>
    <row r="22" spans="2:9" ht="15" customHeight="1" x14ac:dyDescent="0.35">
      <c r="B22" s="233"/>
      <c r="C22" s="234"/>
      <c r="D22" s="143"/>
      <c r="E22" s="233"/>
      <c r="F22" s="239"/>
      <c r="G22" s="239"/>
      <c r="H22" s="234"/>
      <c r="I22" s="7"/>
    </row>
    <row r="23" spans="2:9" ht="15" customHeight="1" x14ac:dyDescent="0.35">
      <c r="B23" s="233"/>
      <c r="C23" s="234"/>
      <c r="D23" s="143"/>
      <c r="E23" s="233"/>
      <c r="F23" s="239"/>
      <c r="G23" s="239"/>
      <c r="H23" s="234"/>
      <c r="I23" s="7"/>
    </row>
    <row r="24" spans="2:9" ht="27" customHeight="1" x14ac:dyDescent="0.35">
      <c r="B24" s="233"/>
      <c r="C24" s="234"/>
      <c r="D24" s="36"/>
      <c r="E24" s="233"/>
      <c r="F24" s="239"/>
      <c r="G24" s="239"/>
      <c r="H24" s="234"/>
      <c r="I24" s="7"/>
    </row>
    <row r="25" spans="2:9" ht="15" customHeight="1" x14ac:dyDescent="0.35">
      <c r="B25" s="233"/>
      <c r="C25" s="234"/>
      <c r="D25" s="36"/>
      <c r="E25" s="233"/>
      <c r="F25" s="239"/>
      <c r="G25" s="239"/>
      <c r="H25" s="234"/>
      <c r="I25" s="7"/>
    </row>
    <row r="26" spans="2:9" ht="15" customHeight="1" x14ac:dyDescent="0.35">
      <c r="B26" s="233"/>
      <c r="C26" s="234"/>
      <c r="D26" s="36"/>
      <c r="E26" s="233"/>
      <c r="F26" s="239"/>
      <c r="G26" s="239"/>
      <c r="H26" s="234"/>
      <c r="I26" s="7"/>
    </row>
    <row r="27" spans="2:9" ht="16.5" customHeight="1" x14ac:dyDescent="0.35">
      <c r="B27" s="233"/>
      <c r="C27" s="234"/>
      <c r="D27" s="36"/>
      <c r="E27" s="233"/>
      <c r="F27" s="239"/>
      <c r="G27" s="239"/>
      <c r="H27" s="234"/>
      <c r="I27" s="7"/>
    </row>
    <row r="28" spans="2:9" ht="14.5" customHeight="1" x14ac:dyDescent="0.35">
      <c r="B28" s="233"/>
      <c r="C28" s="234"/>
      <c r="D28" s="36"/>
      <c r="E28" s="233"/>
      <c r="F28" s="239"/>
      <c r="G28" s="239"/>
      <c r="H28" s="234"/>
      <c r="I28" s="7"/>
    </row>
    <row r="29" spans="2:9" ht="14.5" customHeight="1" x14ac:dyDescent="0.35">
      <c r="B29" s="233"/>
      <c r="C29" s="234"/>
      <c r="D29" s="36"/>
      <c r="E29" s="233"/>
      <c r="F29" s="239"/>
      <c r="G29" s="239"/>
      <c r="H29" s="234"/>
      <c r="I29" s="7"/>
    </row>
    <row r="30" spans="2:9" ht="14.5" customHeight="1" x14ac:dyDescent="0.35">
      <c r="B30" s="233"/>
      <c r="C30" s="234"/>
      <c r="D30" s="36"/>
      <c r="E30" s="233"/>
      <c r="F30" s="239"/>
      <c r="G30" s="239"/>
      <c r="H30" s="234"/>
      <c r="I30" s="7"/>
    </row>
    <row r="31" spans="2:9" ht="14.5" customHeight="1" x14ac:dyDescent="0.35">
      <c r="B31" s="233"/>
      <c r="C31" s="234"/>
      <c r="D31" s="36"/>
      <c r="E31" s="233"/>
      <c r="F31" s="239"/>
      <c r="G31" s="239"/>
      <c r="H31" s="234"/>
      <c r="I31" s="7"/>
    </row>
    <row r="32" spans="2:9" ht="14.5" customHeight="1" x14ac:dyDescent="0.35">
      <c r="B32" s="233"/>
      <c r="C32" s="234"/>
      <c r="D32" s="36"/>
      <c r="E32" s="233"/>
      <c r="F32" s="239"/>
      <c r="G32" s="239"/>
      <c r="H32" s="234"/>
      <c r="I32" s="7"/>
    </row>
    <row r="33" spans="2:9" ht="14.5" customHeight="1" x14ac:dyDescent="0.35">
      <c r="B33" s="233"/>
      <c r="C33" s="234"/>
      <c r="D33" s="36"/>
      <c r="E33" s="233"/>
      <c r="F33" s="239"/>
      <c r="G33" s="239"/>
      <c r="H33" s="234"/>
      <c r="I33" s="7"/>
    </row>
    <row r="34" spans="2:9" ht="14.5" customHeight="1" x14ac:dyDescent="0.35">
      <c r="B34" s="233"/>
      <c r="C34" s="234"/>
      <c r="D34" s="36"/>
      <c r="E34" s="233"/>
      <c r="F34" s="239"/>
      <c r="G34" s="239"/>
      <c r="H34" s="234"/>
      <c r="I34" s="7"/>
    </row>
    <row r="35" spans="2:9" ht="14.5" customHeight="1" thickBot="1" x14ac:dyDescent="0.4">
      <c r="B35" s="235"/>
      <c r="C35" s="236"/>
      <c r="D35" s="36"/>
      <c r="E35" s="235"/>
      <c r="F35" s="240"/>
      <c r="G35" s="240"/>
      <c r="H35" s="236"/>
      <c r="I35" s="7"/>
    </row>
    <row r="36" spans="2:9" ht="14.5" customHeight="1" x14ac:dyDescent="0.35">
      <c r="D36" s="36"/>
      <c r="E36" s="170"/>
      <c r="F36" s="170"/>
      <c r="G36" s="170"/>
      <c r="H36" s="170"/>
      <c r="I36" s="7"/>
    </row>
    <row r="37" spans="2:9" ht="34.4" customHeight="1" x14ac:dyDescent="0.45">
      <c r="B37" s="218" t="s">
        <v>0</v>
      </c>
      <c r="C37" s="219"/>
      <c r="D37" s="219"/>
      <c r="E37" s="219"/>
      <c r="F37" s="219"/>
      <c r="G37" s="220"/>
      <c r="H37" s="221"/>
      <c r="I37" s="6"/>
    </row>
    <row r="38" spans="2:9" ht="11.25" customHeight="1" x14ac:dyDescent="0.35">
      <c r="B38" s="3"/>
    </row>
    <row r="39" spans="2:9" ht="30.65" customHeight="1" x14ac:dyDescent="0.35">
      <c r="B39" s="222" t="s">
        <v>267</v>
      </c>
      <c r="C39" s="223"/>
      <c r="D39" s="223"/>
      <c r="E39" s="223"/>
      <c r="F39" s="223"/>
      <c r="G39" s="224"/>
      <c r="H39" s="225"/>
      <c r="I39" s="6"/>
    </row>
    <row r="40" spans="2:9" ht="15.5" x14ac:dyDescent="0.35">
      <c r="B40" s="37"/>
      <c r="C40" s="37"/>
      <c r="D40" s="37"/>
      <c r="E40" s="37"/>
      <c r="F40" s="37"/>
      <c r="G40" s="38"/>
      <c r="H40" s="38"/>
      <c r="I40" s="6"/>
    </row>
    <row r="41" spans="2:9" ht="15.5" x14ac:dyDescent="0.35">
      <c r="C41" s="184"/>
    </row>
  </sheetData>
  <sheetProtection algorithmName="SHA-512" hashValue="NFEA6Cp/CpzuyDwzGRWrz+y/o+R4Pp2GGYjMYF0/rwHU3C2RFCCddX4qCp2yYM8lxH9ZYAk+683AfzskMiWYyw==" saltValue="R0oEuQWGPc6Kvj3SUQtYoA==" spinCount="100000" sheet="1" objects="1" scenarios="1"/>
  <mergeCells count="7">
    <mergeCell ref="B37:H37"/>
    <mergeCell ref="B39:H39"/>
    <mergeCell ref="B2:H2"/>
    <mergeCell ref="B3:H3"/>
    <mergeCell ref="B4:C19"/>
    <mergeCell ref="B21:C35"/>
    <mergeCell ref="E4:H35"/>
  </mergeCells>
  <pageMargins left="0.7" right="0.7" top="0.75" bottom="0.75" header="0.3" footer="0.3"/>
  <pageSetup paperSize="9"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
    <tabColor theme="5" tint="-0.249977111117893"/>
    <pageSetUpPr fitToPage="1"/>
  </sheetPr>
  <dimension ref="B1:AL165"/>
  <sheetViews>
    <sheetView showGridLines="0" showZeros="0" zoomScale="60" zoomScaleNormal="60" zoomScaleSheetLayoutView="55" zoomScalePageLayoutView="120" workbookViewId="0">
      <selection activeCell="F4" sqref="F4"/>
    </sheetView>
  </sheetViews>
  <sheetFormatPr defaultColWidth="0" defaultRowHeight="15" customHeight="1" zeroHeight="1" x14ac:dyDescent="0.35"/>
  <cols>
    <col min="1" max="1" width="1.54296875" customWidth="1"/>
    <col min="2" max="2" width="40" customWidth="1"/>
    <col min="3" max="3" width="23.1796875" customWidth="1"/>
    <col min="4" max="34" width="5.1796875" customWidth="1"/>
    <col min="35" max="36" width="8.1796875" customWidth="1"/>
    <col min="37" max="37" width="11.1796875" customWidth="1"/>
    <col min="38" max="38" width="29.1796875" customWidth="1"/>
    <col min="39" max="39" width="5.54296875" customWidth="1"/>
    <col min="40" max="16383" width="9.1796875" customWidth="1"/>
    <col min="16384" max="16384" width="2.1796875" customWidth="1"/>
  </cols>
  <sheetData>
    <row r="1" spans="2:38" ht="21" x14ac:dyDescent="0.35">
      <c r="B1" s="75" t="s">
        <v>59</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0</v>
      </c>
      <c r="G2" s="41" t="b">
        <f t="shared" ca="1" si="0"/>
        <v>0</v>
      </c>
      <c r="H2" s="41" t="b">
        <f t="shared" ca="1" si="0"/>
        <v>0</v>
      </c>
      <c r="I2" s="41" t="b">
        <f t="shared" ca="1" si="0"/>
        <v>0</v>
      </c>
      <c r="J2" s="41" t="b">
        <f t="shared" ca="1" si="0"/>
        <v>0</v>
      </c>
      <c r="K2" s="41" t="b">
        <f t="shared" ca="1" si="0"/>
        <v>1</v>
      </c>
      <c r="L2" s="41" t="b">
        <f t="shared" ca="1" si="0"/>
        <v>1</v>
      </c>
      <c r="M2" s="41" t="b">
        <f t="shared" ca="1" si="0"/>
        <v>0</v>
      </c>
      <c r="N2" s="41" t="b">
        <f t="shared" ca="1" si="0"/>
        <v>0</v>
      </c>
      <c r="O2" s="41" t="b">
        <f t="shared" ca="1" si="0"/>
        <v>0</v>
      </c>
      <c r="P2" s="41" t="b">
        <f t="shared" ca="1" si="0"/>
        <v>0</v>
      </c>
      <c r="Q2" s="41" t="b">
        <f t="shared" ca="1" si="0"/>
        <v>0</v>
      </c>
      <c r="R2" s="90" t="b">
        <f t="shared" ca="1" si="0"/>
        <v>1</v>
      </c>
      <c r="S2" s="41" t="b">
        <f t="shared" ca="1" si="0"/>
        <v>1</v>
      </c>
      <c r="T2" s="41" t="b">
        <f t="shared" ca="1" si="0"/>
        <v>0</v>
      </c>
      <c r="U2" s="41" t="b">
        <f t="shared" ca="1" si="0"/>
        <v>0</v>
      </c>
      <c r="V2" s="41" t="b">
        <f t="shared" ca="1" si="0"/>
        <v>0</v>
      </c>
      <c r="W2" s="41" t="b">
        <f t="shared" ca="1" si="0"/>
        <v>0</v>
      </c>
      <c r="X2" s="41" t="b">
        <f t="shared" ca="1" si="0"/>
        <v>0</v>
      </c>
      <c r="Y2" s="41" t="b">
        <f t="shared" ca="1" si="0"/>
        <v>1</v>
      </c>
      <c r="Z2" s="41" t="b">
        <f t="shared" ca="1" si="0"/>
        <v>1</v>
      </c>
      <c r="AA2" s="41" t="b">
        <f t="shared" ca="1" si="0"/>
        <v>0</v>
      </c>
      <c r="AB2" s="41" t="b">
        <f t="shared" ca="1" si="0"/>
        <v>0</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1</v>
      </c>
      <c r="AH2" s="41" t="b">
        <f t="shared" ca="1" si="0"/>
        <v>0</v>
      </c>
      <c r="AI2" s="79"/>
      <c r="AJ2" s="79"/>
      <c r="AK2" s="91"/>
    </row>
    <row r="3" spans="2:38" ht="51" customHeight="1" x14ac:dyDescent="0.35">
      <c r="B3" s="66" t="s">
        <v>37</v>
      </c>
      <c r="C3" s="67"/>
      <c r="D3" s="68">
        <f>DATEVALUE(AloxÅr&amp;"-"&amp;VLOOKUP(LEFT(B1,3),Holidays!$M$4:$N$15,2,0)&amp;"-1")</f>
        <v>45717</v>
      </c>
      <c r="E3" s="68">
        <f>DATE(YEAR(D3),MONTH(D3),DAY(D3)+1)</f>
        <v>45718</v>
      </c>
      <c r="F3" s="68">
        <f t="shared" ref="F3:AH3" si="1">DATE(YEAR(E3),MONTH(E3),DAY(E3)+1)</f>
        <v>45719</v>
      </c>
      <c r="G3" s="68">
        <f t="shared" si="1"/>
        <v>45720</v>
      </c>
      <c r="H3" s="68">
        <f t="shared" si="1"/>
        <v>45721</v>
      </c>
      <c r="I3" s="68">
        <f t="shared" si="1"/>
        <v>45722</v>
      </c>
      <c r="J3" s="68">
        <f t="shared" si="1"/>
        <v>45723</v>
      </c>
      <c r="K3" s="68">
        <f t="shared" si="1"/>
        <v>45724</v>
      </c>
      <c r="L3" s="68">
        <f t="shared" si="1"/>
        <v>45725</v>
      </c>
      <c r="M3" s="68">
        <f t="shared" si="1"/>
        <v>45726</v>
      </c>
      <c r="N3" s="68">
        <f t="shared" si="1"/>
        <v>45727</v>
      </c>
      <c r="O3" s="68">
        <f t="shared" si="1"/>
        <v>45728</v>
      </c>
      <c r="P3" s="68">
        <f t="shared" si="1"/>
        <v>45729</v>
      </c>
      <c r="Q3" s="68">
        <f t="shared" si="1"/>
        <v>45730</v>
      </c>
      <c r="R3" s="68">
        <f t="shared" si="1"/>
        <v>45731</v>
      </c>
      <c r="S3" s="68">
        <f t="shared" si="1"/>
        <v>45732</v>
      </c>
      <c r="T3" s="68">
        <f t="shared" si="1"/>
        <v>45733</v>
      </c>
      <c r="U3" s="68">
        <f t="shared" si="1"/>
        <v>45734</v>
      </c>
      <c r="V3" s="68">
        <f t="shared" si="1"/>
        <v>45735</v>
      </c>
      <c r="W3" s="68">
        <f t="shared" si="1"/>
        <v>45736</v>
      </c>
      <c r="X3" s="68">
        <f t="shared" si="1"/>
        <v>45737</v>
      </c>
      <c r="Y3" s="68">
        <f t="shared" si="1"/>
        <v>45738</v>
      </c>
      <c r="Z3" s="68">
        <f t="shared" si="1"/>
        <v>45739</v>
      </c>
      <c r="AA3" s="68">
        <f t="shared" si="1"/>
        <v>45740</v>
      </c>
      <c r="AB3" s="68">
        <f t="shared" si="1"/>
        <v>45741</v>
      </c>
      <c r="AC3" s="68">
        <f t="shared" si="1"/>
        <v>45742</v>
      </c>
      <c r="AD3" s="68">
        <f t="shared" si="1"/>
        <v>45743</v>
      </c>
      <c r="AE3" s="68">
        <f t="shared" si="1"/>
        <v>45744</v>
      </c>
      <c r="AF3" s="68">
        <f t="shared" si="1"/>
        <v>45745</v>
      </c>
      <c r="AG3" s="68">
        <f t="shared" si="1"/>
        <v>45746</v>
      </c>
      <c r="AH3" s="68">
        <f t="shared" si="1"/>
        <v>45747</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SUM(D4:AH4)</f>
        <v>0</v>
      </c>
      <c r="AJ4" s="160">
        <f>MarTot.01/8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ref="AI5:AI23" si="2">SUM(D5:AH5)</f>
        <v>0</v>
      </c>
      <c r="AJ5" s="160">
        <f>MarTot.02/8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MarTot.03/8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MarTot.04/8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MarTot.05/8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MarTot.06/8</f>
        <v>0</v>
      </c>
      <c r="AK9" s="88" t="str">
        <f t="shared" si="3"/>
        <v/>
      </c>
      <c r="AL9" s="134"/>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MarTot.07/8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MarTot.08/8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MarTot.09/8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MarTot.10/8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MarTot.11/8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MarTot.12/8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MarTot.13/8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MarTot.14/8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MarTot.15/8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MarTot.16/8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MarTot.17/8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MarTot.18/8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MarTot.19/8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MarTot.20/8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ref="AI24" si="4">SUM(D24:AH24)</f>
        <v>0</v>
      </c>
      <c r="AJ24" s="161">
        <f>AI24/8</f>
        <v>0</v>
      </c>
      <c r="AK24" s="157" t="str">
        <f>IFERROR(AI24/$AI$28,"")</f>
        <v/>
      </c>
      <c r="AL24" s="133"/>
    </row>
    <row r="25" spans="2:38" ht="17.149999999999999" customHeight="1" x14ac:dyDescent="0.35">
      <c r="B25" s="65" t="s">
        <v>45</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72"/>
      <c r="AJ25" s="72"/>
      <c r="AK25" s="64"/>
    </row>
    <row r="26" spans="2:38" ht="17.149999999999999" customHeight="1" x14ac:dyDescent="0.35">
      <c r="B26" s="302" t="s">
        <v>46</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74">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47</v>
      </c>
      <c r="C28" s="303"/>
      <c r="D28" s="73">
        <f t="shared" ref="D28:AH28" si="7">SUM(D4:D24)</f>
        <v>0</v>
      </c>
      <c r="E28" s="73">
        <f t="shared" si="7"/>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74">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row>
    <row r="40" spans="2:38" ht="14.5" x14ac:dyDescent="0.35">
      <c r="B40" s="9" t="s">
        <v>45</v>
      </c>
      <c r="C40" s="9">
        <f>ROW()</f>
        <v>40</v>
      </c>
      <c r="AC40" s="305"/>
      <c r="AD40" s="306"/>
      <c r="AE40" s="306"/>
      <c r="AF40" s="306"/>
      <c r="AG40" s="306"/>
      <c r="AH40" s="306"/>
    </row>
    <row r="41" spans="2:38" ht="15" customHeight="1" x14ac:dyDescent="0.35">
      <c r="AC41" s="307"/>
      <c r="AD41" s="307"/>
      <c r="AE41" s="307"/>
      <c r="AF41" s="307"/>
      <c r="AG41" s="307"/>
      <c r="AH41" s="307"/>
    </row>
    <row r="42" spans="2:38" ht="15" customHeight="1" x14ac:dyDescent="0.35"/>
    <row r="43" spans="2:38" ht="15" customHeight="1" x14ac:dyDescent="0.35"/>
    <row r="44" spans="2:38" ht="15" customHeight="1" x14ac:dyDescent="0.35"/>
    <row r="45" spans="2:38" ht="15" customHeight="1"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EMHHs+gV7i6fLuFBdbmrzrhLwL1UCEm0hRpuKsaKMf3y1tIxEg6AgfLFvHiVYeuyKzzvC60b4mkbeDDhxpRKw==" saltValue="EB4amfX6ncVnDi9un7OAHw==" spinCount="100000" sheet="1" selectLockedCells="1"/>
  <mergeCells count="3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270" priority="2" operator="containsText" text="Erasmus+">
      <formula>NOT(ISERROR(SEARCH("Erasmus+",B4)))</formula>
    </cfRule>
    <cfRule type="containsText" dxfId="268" priority="4" operator="containsText" text="Other US">
      <formula>NOT(ISERROR(SEARCH("Other US",B4)))</formula>
    </cfRule>
    <cfRule type="containsText" dxfId="267" priority="5" operator="containsText" text="US Army">
      <formula>NOT(ISERROR(SEARCH("US Army",B4)))</formula>
    </cfRule>
    <cfRule type="containsText" dxfId="265" priority="7" operator="containsText" text="NIH">
      <formula>NOT(ISERROR(SEARCH("NIH",B4)))</formula>
    </cfRule>
    <cfRule type="containsText" dxfId="264" priority="8" operator="containsText" text="FP7">
      <formula>NOT(ISERROR(SEARCH("FP7",B4)))</formula>
    </cfRule>
    <cfRule type="containsText" dxfId="263" priority="9" operator="containsText" text="H2020">
      <formula>NOT(ISERROR(SEARCH("H2020",B4)))</formula>
    </cfRule>
    <cfRule type="containsText" dxfId="262" priority="10" operator="containsText" text="Sida">
      <formula>NOT(ISERROR(SEARCH("Sida",B4)))</formula>
    </cfRule>
    <cfRule type="containsText" dxfId="261" priority="11" operator="containsText" text="Other">
      <formula>NOT(ISERROR(SEARCH("Other",B4)))</formula>
    </cfRule>
  </conditionalFormatting>
  <conditionalFormatting sqref="D3:AH3">
    <cfRule type="expression" dxfId="260" priority="46">
      <formula>OR(WEEKDAY(D3,2)=6,WEEKDAY(D3,2)=7)</formula>
    </cfRule>
    <cfRule type="expression" dxfId="259" priority="47">
      <formula>INDEX(INDIRECT("Shortened[WorkHours]"),MATCH(D3,INDIRECT("Shortened[DateInYear]"),0),0)&gt;7</formula>
    </cfRule>
    <cfRule type="expression" dxfId="258" priority="48">
      <formula>INDEX(INDIRECT("Clamp[WorkHours]"),MATCH(D3,INDIRECT("Clamp[DateInYear]"),0),0)&gt;7</formula>
    </cfRule>
    <cfRule type="expression" dxfId="257" priority="49">
      <formula>AND(INDEX(INDIRECT("Clamp[WorkHours]"),MATCH(C3,INDIRECT("Clamp[DateInYear]"),0),0)&gt;0,INDEX(INDIRECT("Clamp[WorkHours]"),MATCH(C3,INDIRECT("Clamp[DateInYear]"),0),0)&lt;8)</formula>
    </cfRule>
    <cfRule type="expression" dxfId="256" priority="50">
      <formula>AND(INDEX(INDIRECT("Shortened[WorkHours]"),MATCH(D3,INDIRECT("Shortened[DateInYear]"),0),0)&gt;0,INDEX(INDIRECT("Shortened[WorkHours]"),MATCH(D3,INDIRECT("Shortened[DateInYear]"),0),0)&lt;8)</formula>
    </cfRule>
    <cfRule type="expression" dxfId="255" priority="51">
      <formula>MATCH(D3,INDIRECT("Fixed_dates[DateInYear]"),0)&gt;0</formula>
    </cfRule>
    <cfRule type="expression" dxfId="254" priority="52">
      <formula>MATCH(D3,INDIRECT("Fixed_weekdays[DateInYear]"),0)&gt;0</formula>
    </cfRule>
  </conditionalFormatting>
  <conditionalFormatting sqref="D4:AH24">
    <cfRule type="expression" dxfId="253" priority="44">
      <formula>D$2</formula>
    </cfRule>
  </conditionalFormatting>
  <conditionalFormatting sqref="D25:AH25">
    <cfRule type="iconSet" priority="102">
      <iconSet iconSet="3Flags">
        <cfvo type="percent" val="0"/>
        <cfvo type="percent" val="33"/>
        <cfvo type="percent" val="67"/>
      </iconSet>
    </cfRule>
    <cfRule type="iconSet" priority="103">
      <iconSet iconSet="3Flags">
        <cfvo type="percent" val="0"/>
        <cfvo type="percent" val="33"/>
        <cfvo type="percent" val="67"/>
      </iconSet>
    </cfRule>
  </conditionalFormatting>
  <conditionalFormatting sqref="D26:AH26">
    <cfRule type="cellIs" dxfId="252" priority="85" operator="greaterThan">
      <formula>24</formula>
    </cfRule>
    <cfRule type="cellIs" dxfId="251" priority="86" operator="greaterThan">
      <formula>14</formula>
    </cfRule>
  </conditionalFormatting>
  <conditionalFormatting sqref="J24">
    <cfRule type="expression" dxfId="250" priority="45">
      <formula>J$2</formula>
    </cfRule>
  </conditionalFormatting>
  <conditionalFormatting sqref="AI35">
    <cfRule type="expression" dxfId="249" priority="1">
      <formula>AJ$2</formula>
    </cfRule>
  </conditionalFormatting>
  <conditionalFormatting sqref="AK30">
    <cfRule type="expression" dxfId="248" priority="89">
      <formula>AL$2</formula>
    </cfRule>
  </conditionalFormatting>
  <dataValidations count="1">
    <dataValidation type="decimal" allowBlank="1" showInputMessage="1" showErrorMessage="1" errorTitle="ERROR !" error="You may report min 0,5 and max 24 hrs per WP or Project" sqref="D4:AH23" xr:uid="{00000000-0002-0000-06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2EB3C6ED-35F1-4A1E-965E-0E0C18E41837}">
            <xm:f>NOT(ISERROR(SEARCH("HEU",B4)))</xm:f>
            <xm:f>"HEU"</xm:f>
            <x14:dxf>
              <fill>
                <patternFill>
                  <bgColor theme="8" tint="0.79998168889431442"/>
                </patternFill>
              </fill>
            </x14:dxf>
          </x14:cfRule>
          <x14:cfRule type="containsText" priority="6" operator="containsText" id="{1F955FDA-8E7D-4FB6-A3E9-A0469498711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101" id="{40A67C08-2502-4E72-87E4-B340C8FB3842}">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88" id="{36B9CF68-F8F7-4029-A489-C6BB015D75A5}">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87" id="{98739F7A-6028-4485-8BF8-8EFF72AD9A45}">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5">
    <tabColor theme="5" tint="-0.249977111117893"/>
    <pageSetUpPr fitToPage="1"/>
  </sheetPr>
  <dimension ref="B1:AR165"/>
  <sheetViews>
    <sheetView showGridLines="0" showZeros="0" zoomScale="60" zoomScaleNormal="60" zoomScaleSheetLayoutView="55" workbookViewId="0">
      <selection activeCell="D4" sqref="D4"/>
    </sheetView>
  </sheetViews>
  <sheetFormatPr defaultColWidth="9.1796875" defaultRowHeight="15" customHeight="1" zeroHeight="1" x14ac:dyDescent="0.35"/>
  <cols>
    <col min="1" max="1" width="1.54296875" customWidth="1"/>
    <col min="2" max="2" width="40" customWidth="1"/>
    <col min="3" max="3" width="23.1796875" customWidth="1"/>
    <col min="4" max="33" width="5.1796875" customWidth="1"/>
    <col min="34" max="34" width="5.1796875" hidden="1" customWidth="1"/>
    <col min="35" max="35" width="9.54296875" customWidth="1"/>
    <col min="36" max="36" width="8.81640625" customWidth="1"/>
    <col min="37" max="37" width="11.1796875" customWidth="1"/>
    <col min="38" max="38" width="32" customWidth="1"/>
    <col min="39" max="39" width="5.81640625" customWidth="1"/>
    <col min="40" max="40" width="9.1796875" customWidth="1"/>
  </cols>
  <sheetData>
    <row r="1" spans="2:44" ht="21" x14ac:dyDescent="0.35">
      <c r="B1" s="75" t="s">
        <v>60</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44"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1</v>
      </c>
      <c r="I2" s="41" t="b">
        <f t="shared" ca="1" si="0"/>
        <v>1</v>
      </c>
      <c r="J2" s="41" t="b">
        <f t="shared" ca="1" si="0"/>
        <v>0</v>
      </c>
      <c r="K2" s="41" t="b">
        <f t="shared" ca="1" si="0"/>
        <v>0</v>
      </c>
      <c r="L2" s="41" t="b">
        <f t="shared" ca="1" si="0"/>
        <v>0</v>
      </c>
      <c r="M2" s="41" t="b">
        <f t="shared" ca="1" si="0"/>
        <v>0</v>
      </c>
      <c r="N2" s="41" t="b">
        <f t="shared" ca="1" si="0"/>
        <v>0</v>
      </c>
      <c r="O2" s="41" t="b">
        <f t="shared" ca="1" si="0"/>
        <v>1</v>
      </c>
      <c r="P2" s="41" t="b">
        <f t="shared" ca="1" si="0"/>
        <v>1</v>
      </c>
      <c r="Q2" s="41" t="b">
        <f t="shared" ca="1" si="0"/>
        <v>0</v>
      </c>
      <c r="R2" s="90" t="b">
        <f t="shared" ca="1" si="0"/>
        <v>0</v>
      </c>
      <c r="S2" s="41" t="b">
        <f t="shared" ca="1" si="0"/>
        <v>0</v>
      </c>
      <c r="T2" s="41" t="b">
        <f t="shared" ca="1" si="0"/>
        <v>0</v>
      </c>
      <c r="U2" s="41" t="b">
        <f t="shared" ca="1" si="0"/>
        <v>1</v>
      </c>
      <c r="V2" s="41" t="b">
        <f t="shared" ca="1" si="0"/>
        <v>1</v>
      </c>
      <c r="W2" s="41" t="b">
        <f t="shared" ca="1" si="0"/>
        <v>1</v>
      </c>
      <c r="X2" s="41" t="b">
        <f t="shared" ca="1" si="0"/>
        <v>1</v>
      </c>
      <c r="Y2" s="41" t="b">
        <f t="shared" ca="1" si="0"/>
        <v>0</v>
      </c>
      <c r="Z2" s="41" t="b">
        <f t="shared" ca="1" si="0"/>
        <v>0</v>
      </c>
      <c r="AA2" s="41" t="b">
        <f t="shared" ca="1" si="0"/>
        <v>0</v>
      </c>
      <c r="AB2" s="41" t="b">
        <f t="shared" ca="1" si="0"/>
        <v>0</v>
      </c>
      <c r="AC2" s="41" t="b">
        <f t="shared" ca="1" si="0"/>
        <v>1</v>
      </c>
      <c r="AD2" s="41" t="b">
        <f t="shared" ca="1" si="0"/>
        <v>1</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1</v>
      </c>
      <c r="AI2" s="79"/>
      <c r="AJ2" s="79"/>
      <c r="AK2" s="91"/>
    </row>
    <row r="3" spans="2:44" ht="51" customHeight="1" x14ac:dyDescent="0.35">
      <c r="B3" s="66" t="s">
        <v>37</v>
      </c>
      <c r="C3" s="67"/>
      <c r="D3" s="68">
        <f>DATEVALUE(AloxÅr&amp;"-"&amp;VLOOKUP(LEFT(B1,3),Holidays!$M$4:$N$15,2,0)&amp;"-1")</f>
        <v>45748</v>
      </c>
      <c r="E3" s="68">
        <f>DATE(YEAR(D3),MONTH(D3),DAY(D3)+1)</f>
        <v>45749</v>
      </c>
      <c r="F3" s="68">
        <f t="shared" ref="F3:AH3" si="1">DATE(YEAR(E3),MONTH(E3),DAY(E3)+1)</f>
        <v>45750</v>
      </c>
      <c r="G3" s="68">
        <f t="shared" si="1"/>
        <v>45751</v>
      </c>
      <c r="H3" s="68">
        <f t="shared" si="1"/>
        <v>45752</v>
      </c>
      <c r="I3" s="68">
        <f t="shared" si="1"/>
        <v>45753</v>
      </c>
      <c r="J3" s="68">
        <f t="shared" si="1"/>
        <v>45754</v>
      </c>
      <c r="K3" s="68">
        <f t="shared" si="1"/>
        <v>45755</v>
      </c>
      <c r="L3" s="68">
        <f t="shared" si="1"/>
        <v>45756</v>
      </c>
      <c r="M3" s="68">
        <f t="shared" si="1"/>
        <v>45757</v>
      </c>
      <c r="N3" s="68">
        <f t="shared" si="1"/>
        <v>45758</v>
      </c>
      <c r="O3" s="68">
        <f t="shared" si="1"/>
        <v>45759</v>
      </c>
      <c r="P3" s="68">
        <f t="shared" si="1"/>
        <v>45760</v>
      </c>
      <c r="Q3" s="68">
        <f t="shared" si="1"/>
        <v>45761</v>
      </c>
      <c r="R3" s="68">
        <f t="shared" si="1"/>
        <v>45762</v>
      </c>
      <c r="S3" s="68">
        <f t="shared" si="1"/>
        <v>45763</v>
      </c>
      <c r="T3" s="68">
        <f t="shared" si="1"/>
        <v>45764</v>
      </c>
      <c r="U3" s="68">
        <f>DATE(YEAR(T3),MONTH(T3),DAY(T3)+1)</f>
        <v>45765</v>
      </c>
      <c r="V3" s="68">
        <f t="shared" si="1"/>
        <v>45766</v>
      </c>
      <c r="W3" s="68">
        <f t="shared" si="1"/>
        <v>45767</v>
      </c>
      <c r="X3" s="68">
        <f t="shared" si="1"/>
        <v>45768</v>
      </c>
      <c r="Y3" s="68">
        <f t="shared" si="1"/>
        <v>45769</v>
      </c>
      <c r="Z3" s="68">
        <f t="shared" si="1"/>
        <v>45770</v>
      </c>
      <c r="AA3" s="68">
        <f t="shared" si="1"/>
        <v>45771</v>
      </c>
      <c r="AB3" s="68">
        <f t="shared" si="1"/>
        <v>45772</v>
      </c>
      <c r="AC3" s="68">
        <f t="shared" si="1"/>
        <v>45773</v>
      </c>
      <c r="AD3" s="68">
        <f t="shared" si="1"/>
        <v>45774</v>
      </c>
      <c r="AE3" s="68">
        <f t="shared" si="1"/>
        <v>45775</v>
      </c>
      <c r="AF3" s="68">
        <f t="shared" si="1"/>
        <v>45776</v>
      </c>
      <c r="AG3" s="68">
        <f t="shared" si="1"/>
        <v>45777</v>
      </c>
      <c r="AH3" s="68">
        <f t="shared" si="1"/>
        <v>45778</v>
      </c>
      <c r="AI3" s="154" t="s">
        <v>38</v>
      </c>
      <c r="AJ3" s="154" t="s">
        <v>39</v>
      </c>
      <c r="AK3" s="154" t="s">
        <v>252</v>
      </c>
      <c r="AL3" s="163" t="s">
        <v>41</v>
      </c>
    </row>
    <row r="4" spans="2:44"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SUM(D4:AG4)</f>
        <v>0</v>
      </c>
      <c r="AJ4" s="160">
        <f>AprTot.01/8</f>
        <v>0</v>
      </c>
      <c r="AK4" s="88" t="str">
        <f>IFERROR(AI4/$AI$26,"")</f>
        <v/>
      </c>
      <c r="AL4" s="133"/>
    </row>
    <row r="5" spans="2:44"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ref="AI5:AI24" si="2">SUM(D5:AG5)</f>
        <v>0</v>
      </c>
      <c r="AJ5" s="160">
        <f>AprTot.02/8</f>
        <v>0</v>
      </c>
      <c r="AK5" s="88" t="str">
        <f t="shared" ref="AK5:AK23" si="3">IFERROR(AI5/$AI$26,"")</f>
        <v/>
      </c>
      <c r="AL5" s="133"/>
    </row>
    <row r="6" spans="2:44"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AprTot.03/8</f>
        <v>0</v>
      </c>
      <c r="AK6" s="88" t="str">
        <f t="shared" si="3"/>
        <v/>
      </c>
      <c r="AL6" s="133"/>
    </row>
    <row r="7" spans="2:44"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AprTot.04/8</f>
        <v>0</v>
      </c>
      <c r="AK7" s="88" t="str">
        <f t="shared" si="3"/>
        <v/>
      </c>
      <c r="AL7" s="133"/>
      <c r="AR7" t="s">
        <v>248</v>
      </c>
    </row>
    <row r="8" spans="2:44"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AprTot.05/8</f>
        <v>0</v>
      </c>
      <c r="AK8" s="88" t="str">
        <f t="shared" si="3"/>
        <v/>
      </c>
      <c r="AL8" s="133"/>
    </row>
    <row r="9" spans="2:44"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AprTot.06/8</f>
        <v>0</v>
      </c>
      <c r="AK9" s="88" t="str">
        <f t="shared" si="3"/>
        <v/>
      </c>
      <c r="AL9" s="133"/>
    </row>
    <row r="10" spans="2:44"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AprTot.07/8</f>
        <v>0</v>
      </c>
      <c r="AK10" s="88" t="str">
        <f t="shared" si="3"/>
        <v/>
      </c>
      <c r="AL10" s="133"/>
    </row>
    <row r="11" spans="2:44"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AprTot.08/8</f>
        <v>0</v>
      </c>
      <c r="AK11" s="88" t="str">
        <f t="shared" si="3"/>
        <v/>
      </c>
      <c r="AL11" s="133"/>
    </row>
    <row r="12" spans="2:44"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AprTot.09/8</f>
        <v>0</v>
      </c>
      <c r="AK12" s="88" t="str">
        <f t="shared" si="3"/>
        <v/>
      </c>
      <c r="AL12" s="133"/>
    </row>
    <row r="13" spans="2:44"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AprTot.10/8</f>
        <v>0</v>
      </c>
      <c r="AK13" s="88" t="str">
        <f t="shared" si="3"/>
        <v/>
      </c>
      <c r="AL13" s="133"/>
    </row>
    <row r="14" spans="2:44"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AprTot.11/8</f>
        <v>0</v>
      </c>
      <c r="AK14" s="88" t="str">
        <f t="shared" si="3"/>
        <v/>
      </c>
      <c r="AL14" s="133"/>
    </row>
    <row r="15" spans="2:44"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AprTot.12/8</f>
        <v>0</v>
      </c>
      <c r="AK15" s="88" t="str">
        <f t="shared" si="3"/>
        <v/>
      </c>
      <c r="AL15" s="133"/>
    </row>
    <row r="16" spans="2:44"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AprTot.13/8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AprTot.14/8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AprTot.15/8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AprTot.16/8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AprTot.17/8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AprTot.18/8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AprTot.19/8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AprTot.20/8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si="2"/>
        <v>0</v>
      </c>
      <c r="AJ24" s="161">
        <f>AI24/8</f>
        <v>0</v>
      </c>
      <c r="AK24" s="157" t="str">
        <f>IFERROR(AI24/$AI$28,"")</f>
        <v/>
      </c>
      <c r="AL24" s="133"/>
    </row>
    <row r="25" spans="2:38" ht="17.149999999999999" customHeight="1" x14ac:dyDescent="0.35">
      <c r="B25" s="65" t="s">
        <v>45</v>
      </c>
      <c r="C25" s="64"/>
      <c r="D25" s="71">
        <f>D26</f>
        <v>0</v>
      </c>
      <c r="E25" s="71">
        <f t="shared" ref="E25:AG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c r="AI25" s="72"/>
      <c r="AJ25" s="72"/>
      <c r="AK25" s="64"/>
    </row>
    <row r="26" spans="2:38" ht="17.149999999999999" customHeight="1" x14ac:dyDescent="0.35">
      <c r="B26" s="302" t="s">
        <v>46</v>
      </c>
      <c r="C26" s="303"/>
      <c r="D26" s="73">
        <f t="shared" ref="D26:AH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 t="shared" si="5"/>
        <v>0</v>
      </c>
      <c r="AI26" s="74">
        <f>SUM(D26:AG26)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47</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c r="AI28" s="74">
        <f>SUM(D28:AG28)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s="183" customFormat="1" ht="18.75" customHeight="1" x14ac:dyDescent="0.35">
      <c r="B36" s="179" t="s">
        <v>53</v>
      </c>
      <c r="C36" s="180"/>
      <c r="D36" s="180" t="s">
        <v>54</v>
      </c>
      <c r="E36" s="180"/>
      <c r="F36" s="181"/>
      <c r="G36" s="182"/>
      <c r="H36" s="181"/>
      <c r="I36" s="181"/>
      <c r="J36" s="181"/>
      <c r="K36" s="181"/>
      <c r="L36" s="181"/>
      <c r="M36" s="181"/>
      <c r="N36" s="181"/>
      <c r="O36" s="181"/>
      <c r="P36" s="18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15.5"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row r="43" spans="2:38" ht="15" customHeight="1" x14ac:dyDescent="0.35"/>
    <row r="44" spans="2:38" ht="14.5" customHeight="1" x14ac:dyDescent="0.35"/>
    <row r="45" spans="2:38" ht="14.5" customHeight="1"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shLsp4XDBNMTbGWTEHkIugkTAYz9zr0kD5FQ5qcttCymDgPxlbQ8qJfK0G06kK1V+2htiOOmqc+BhzYZM3QhtQ==" saltValue="jvlh3LdxbhLb0ccYtwt9FA==" spinCount="100000" sheet="1" selectLockedCells="1"/>
  <mergeCells count="33">
    <mergeCell ref="B14:C14"/>
    <mergeCell ref="B15:C15"/>
    <mergeCell ref="B16:C16"/>
    <mergeCell ref="B17:C17"/>
    <mergeCell ref="B9:C9"/>
    <mergeCell ref="B10:C10"/>
    <mergeCell ref="B11:C11"/>
    <mergeCell ref="B12:C12"/>
    <mergeCell ref="B13:C13"/>
    <mergeCell ref="B8:C8"/>
    <mergeCell ref="B4:C4"/>
    <mergeCell ref="B5:C5"/>
    <mergeCell ref="B6:C6"/>
    <mergeCell ref="B7:C7"/>
    <mergeCell ref="AC41:AH41"/>
    <mergeCell ref="AC40:AH40"/>
    <mergeCell ref="B23:C23"/>
    <mergeCell ref="B26:C26"/>
    <mergeCell ref="X32:AA32"/>
    <mergeCell ref="AB32:AC32"/>
    <mergeCell ref="AE32:AH32"/>
    <mergeCell ref="Q33:AI33"/>
    <mergeCell ref="B28:C28"/>
    <mergeCell ref="Q31:AI31"/>
    <mergeCell ref="Q30:AI30"/>
    <mergeCell ref="Q36:Z38"/>
    <mergeCell ref="AC36:AL38"/>
    <mergeCell ref="B18:C18"/>
    <mergeCell ref="B19:C19"/>
    <mergeCell ref="B21:C21"/>
    <mergeCell ref="B22:C22"/>
    <mergeCell ref="AK30:AL30"/>
    <mergeCell ref="B20:C20"/>
  </mergeCells>
  <conditionalFormatting sqref="B4:C23">
    <cfRule type="containsText" dxfId="247" priority="2" operator="containsText" text="Erasmus+">
      <formula>NOT(ISERROR(SEARCH("Erasmus+",B4)))</formula>
    </cfRule>
    <cfRule type="containsText" dxfId="245" priority="4" operator="containsText" text="Other US">
      <formula>NOT(ISERROR(SEARCH("Other US",B4)))</formula>
    </cfRule>
    <cfRule type="containsText" dxfId="244" priority="5" operator="containsText" text="US Army">
      <formula>NOT(ISERROR(SEARCH("US Army",B4)))</formula>
    </cfRule>
    <cfRule type="containsText" dxfId="242" priority="7" operator="containsText" text="NIH">
      <formula>NOT(ISERROR(SEARCH("NIH",B4)))</formula>
    </cfRule>
    <cfRule type="containsText" dxfId="241" priority="8" operator="containsText" text="FP7">
      <formula>NOT(ISERROR(SEARCH("FP7",B4)))</formula>
    </cfRule>
    <cfRule type="containsText" dxfId="240" priority="9" operator="containsText" text="H2020">
      <formula>NOT(ISERROR(SEARCH("H2020",B4)))</formula>
    </cfRule>
    <cfRule type="containsText" dxfId="239" priority="10" operator="containsText" text="Sida">
      <formula>NOT(ISERROR(SEARCH("Sida",B4)))</formula>
    </cfRule>
    <cfRule type="containsText" dxfId="238" priority="11" operator="containsText" text="Other">
      <formula>NOT(ISERROR(SEARCH("Other",B4)))</formula>
    </cfRule>
  </conditionalFormatting>
  <conditionalFormatting sqref="D25:AG25">
    <cfRule type="iconSet" priority="77">
      <iconSet iconSet="3Flags">
        <cfvo type="percent" val="0"/>
        <cfvo type="percent" val="33"/>
        <cfvo type="percent" val="67"/>
      </iconSet>
    </cfRule>
    <cfRule type="iconSet" priority="78">
      <iconSet iconSet="3Flags">
        <cfvo type="percent" val="0"/>
        <cfvo type="percent" val="33"/>
        <cfvo type="percent" val="67"/>
      </iconSet>
    </cfRule>
  </conditionalFormatting>
  <conditionalFormatting sqref="D3:AH3">
    <cfRule type="expression" dxfId="237" priority="38">
      <formula>OR(WEEKDAY(D3,2)=6,WEEKDAY(D3,2)=7)</formula>
    </cfRule>
    <cfRule type="expression" dxfId="236" priority="39">
      <formula>INDEX(INDIRECT("Shortened[WorkHours]"),MATCH(D3,INDIRECT("Shortened[DateInYear]"),0),0)&gt;7</formula>
    </cfRule>
    <cfRule type="expression" dxfId="235" priority="40">
      <formula>INDEX(INDIRECT("Clamp[WorkHours]"),MATCH(D3,INDIRECT("Clamp[DateInYear]"),0),0)&gt;7</formula>
    </cfRule>
    <cfRule type="expression" dxfId="234" priority="41">
      <formula>AND(INDEX(INDIRECT("Clamp[WorkHours]"),MATCH(C3,INDIRECT("Clamp[DateInYear]"),0),0)&gt;0,INDEX(INDIRECT("Clamp[WorkHours]"),MATCH(C3,INDIRECT("Clamp[DateInYear]"),0),0)&lt;8)</formula>
    </cfRule>
    <cfRule type="expression" dxfId="233" priority="42">
      <formula>AND(INDEX(INDIRECT("Shortened[WorkHours]"),MATCH(D3,INDIRECT("Shortened[DateInYear]"),0),0)&gt;0,INDEX(INDIRECT("Shortened[WorkHours]"),MATCH(D3,INDIRECT("Shortened[DateInYear]"),0),0)&lt;8)</formula>
    </cfRule>
    <cfRule type="expression" dxfId="232" priority="43">
      <formula>MATCH(D3,INDIRECT("Fixed_dates[DateInYear]"),0)&gt;0</formula>
    </cfRule>
    <cfRule type="expression" dxfId="231" priority="44">
      <formula>MATCH(D3,INDIRECT("Fixed_weekdays[DateInYear]"),0)&gt;0</formula>
    </cfRule>
  </conditionalFormatting>
  <conditionalFormatting sqref="D4:AH24">
    <cfRule type="expression" dxfId="230" priority="36">
      <formula>D$2</formula>
    </cfRule>
  </conditionalFormatting>
  <conditionalFormatting sqref="D26:AH26">
    <cfRule type="cellIs" dxfId="229" priority="69" operator="greaterThan">
      <formula>24</formula>
    </cfRule>
    <cfRule type="cellIs" dxfId="228" priority="70" operator="greaterThan">
      <formula>14</formula>
    </cfRule>
  </conditionalFormatting>
  <conditionalFormatting sqref="J4:J7">
    <cfRule type="expression" dxfId="227" priority="100">
      <formula>J$2</formula>
    </cfRule>
  </conditionalFormatting>
  <conditionalFormatting sqref="J18:J22">
    <cfRule type="expression" dxfId="226" priority="91">
      <formula>J$2</formula>
    </cfRule>
  </conditionalFormatting>
  <conditionalFormatting sqref="J24">
    <cfRule type="expression" dxfId="225" priority="37">
      <formula>J$2</formula>
    </cfRule>
  </conditionalFormatting>
  <conditionalFormatting sqref="AI35">
    <cfRule type="expression" dxfId="224" priority="1">
      <formula>AJ$2</formula>
    </cfRule>
  </conditionalFormatting>
  <conditionalFormatting sqref="AK30">
    <cfRule type="expression" dxfId="223" priority="73">
      <formula>AL$2</formula>
    </cfRule>
  </conditionalFormatting>
  <dataValidations count="1">
    <dataValidation type="decimal" allowBlank="1" showInputMessage="1" showErrorMessage="1" errorTitle="ERROR !" error="You may report min 0,5 and max 24 hrs per WP or Project" sqref="D4:AH23" xr:uid="{00000000-0002-0000-07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4340538A-20DA-4407-8272-4A1A4B6D1058}">
            <xm:f>NOT(ISERROR(SEARCH("HEU",B4)))</xm:f>
            <xm:f>"HEU"</xm:f>
            <x14:dxf>
              <fill>
                <patternFill>
                  <bgColor theme="8" tint="0.79998168889431442"/>
                </patternFill>
              </fill>
            </x14:dxf>
          </x14:cfRule>
          <x14:cfRule type="containsText" priority="6" operator="containsText" id="{DDC1C791-11FE-4FBF-B647-ED14D1845E6D}">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6" id="{4DDF1BC3-3992-4856-8B5B-535E657C6144}">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D25:AG25</xm:sqref>
        </x14:conditionalFormatting>
        <x14:conditionalFormatting xmlns:xm="http://schemas.microsoft.com/office/excel/2006/main">
          <x14:cfRule type="iconSet" priority="72" id="{AC9BF499-337C-43D1-B4CF-D89E250340BB}">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71" id="{932FF04B-D1E2-4973-A0FF-5C52E9A5F5BF}">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6">
    <tabColor theme="5" tint="-0.249977111117893"/>
    <pageSetUpPr fitToPage="1"/>
  </sheetPr>
  <dimension ref="B1:AL165"/>
  <sheetViews>
    <sheetView showGridLines="0" showZeros="0" zoomScale="60" zoomScaleNormal="60" zoomScaleSheetLayoutView="55" workbookViewId="0">
      <selection activeCell="H4" sqref="H4"/>
    </sheetView>
  </sheetViews>
  <sheetFormatPr defaultColWidth="9.1796875" defaultRowHeight="15" customHeight="1" zeroHeight="1" x14ac:dyDescent="0.35"/>
  <cols>
    <col min="1" max="1" width="1.54296875" customWidth="1"/>
    <col min="2" max="2" width="40" customWidth="1"/>
    <col min="3" max="3" width="23.1796875" customWidth="1"/>
    <col min="4" max="34" width="5.1796875" customWidth="1"/>
    <col min="35" max="36" width="8.1796875" customWidth="1"/>
    <col min="37" max="37" width="11.1796875" customWidth="1"/>
    <col min="38" max="38" width="29.1796875" customWidth="1"/>
    <col min="39" max="39" width="4.81640625" customWidth="1"/>
    <col min="40" max="41" width="9.1796875" customWidth="1"/>
    <col min="42" max="42" width="9" customWidth="1"/>
    <col min="43" max="43" width="9.1796875" customWidth="1"/>
  </cols>
  <sheetData>
    <row r="1" spans="2:38" ht="21" x14ac:dyDescent="0.35">
      <c r="B1" s="75" t="s">
        <v>61</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1</v>
      </c>
      <c r="G2" s="41" t="b">
        <f t="shared" ca="1" si="0"/>
        <v>1</v>
      </c>
      <c r="H2" s="41" t="b">
        <f t="shared" ca="1" si="0"/>
        <v>0</v>
      </c>
      <c r="I2" s="41" t="b">
        <f t="shared" ca="1" si="0"/>
        <v>0</v>
      </c>
      <c r="J2" s="41" t="b">
        <f t="shared" ca="1" si="0"/>
        <v>0</v>
      </c>
      <c r="K2" s="41" t="b">
        <f t="shared" ca="1" si="0"/>
        <v>0</v>
      </c>
      <c r="L2" s="41" t="b">
        <f t="shared" ca="1" si="0"/>
        <v>0</v>
      </c>
      <c r="M2" s="41" t="b">
        <f t="shared" ca="1" si="0"/>
        <v>1</v>
      </c>
      <c r="N2" s="41" t="b">
        <f t="shared" ca="1" si="0"/>
        <v>1</v>
      </c>
      <c r="O2" s="41" t="b">
        <f t="shared" ca="1" si="0"/>
        <v>0</v>
      </c>
      <c r="P2" s="41" t="b">
        <f t="shared" ca="1" si="0"/>
        <v>0</v>
      </c>
      <c r="Q2" s="41" t="b">
        <f t="shared" ca="1" si="0"/>
        <v>0</v>
      </c>
      <c r="R2" s="90" t="b">
        <f t="shared" ca="1" si="0"/>
        <v>0</v>
      </c>
      <c r="S2" s="41" t="b">
        <f t="shared" ca="1" si="0"/>
        <v>0</v>
      </c>
      <c r="T2" s="41" t="b">
        <f t="shared" ca="1" si="0"/>
        <v>1</v>
      </c>
      <c r="U2" s="41" t="b">
        <f t="shared" ca="1" si="0"/>
        <v>1</v>
      </c>
      <c r="V2" s="41" t="b">
        <f t="shared" ca="1" si="0"/>
        <v>0</v>
      </c>
      <c r="W2" s="41" t="b">
        <f t="shared" ca="1" si="0"/>
        <v>0</v>
      </c>
      <c r="X2" s="41" t="b">
        <f t="shared" ca="1" si="0"/>
        <v>0</v>
      </c>
      <c r="Y2" s="41" t="b">
        <f t="shared" ca="1" si="0"/>
        <v>0</v>
      </c>
      <c r="Z2" s="41" t="b">
        <f t="shared" ca="1" si="0"/>
        <v>0</v>
      </c>
      <c r="AA2" s="41" t="b">
        <f t="shared" ca="1" si="0"/>
        <v>1</v>
      </c>
      <c r="AB2" s="41" t="b">
        <f t="shared" ca="1" si="0"/>
        <v>1</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1</v>
      </c>
      <c r="AH2" s="41" t="b">
        <f t="shared" ca="1" si="0"/>
        <v>1</v>
      </c>
      <c r="AI2" s="79"/>
      <c r="AJ2" s="79"/>
      <c r="AK2" s="91"/>
    </row>
    <row r="3" spans="2:38" ht="52" x14ac:dyDescent="0.35">
      <c r="B3" s="66" t="s">
        <v>37</v>
      </c>
      <c r="C3" s="67"/>
      <c r="D3" s="68">
        <f>DATEVALUE(AloxÅr&amp;"-"&amp;VLOOKUP(LEFT(B1,3),Holidays!$M$4:$N$15,2,0)&amp;"-1")</f>
        <v>45778</v>
      </c>
      <c r="E3" s="68">
        <f>DATE(YEAR(D3),MONTH(D3),DAY(D3)+1)</f>
        <v>45779</v>
      </c>
      <c r="F3" s="68">
        <f t="shared" ref="F3:AH3" si="1">DATE(YEAR(E3),MONTH(E3),DAY(E3)+1)</f>
        <v>45780</v>
      </c>
      <c r="G3" s="68">
        <f t="shared" si="1"/>
        <v>45781</v>
      </c>
      <c r="H3" s="68">
        <f t="shared" si="1"/>
        <v>45782</v>
      </c>
      <c r="I3" s="68">
        <f t="shared" si="1"/>
        <v>45783</v>
      </c>
      <c r="J3" s="68">
        <f t="shared" si="1"/>
        <v>45784</v>
      </c>
      <c r="K3" s="68">
        <f t="shared" si="1"/>
        <v>45785</v>
      </c>
      <c r="L3" s="68">
        <f t="shared" si="1"/>
        <v>45786</v>
      </c>
      <c r="M3" s="68">
        <f t="shared" si="1"/>
        <v>45787</v>
      </c>
      <c r="N3" s="68">
        <f t="shared" si="1"/>
        <v>45788</v>
      </c>
      <c r="O3" s="68">
        <f t="shared" si="1"/>
        <v>45789</v>
      </c>
      <c r="P3" s="68">
        <f t="shared" si="1"/>
        <v>45790</v>
      </c>
      <c r="Q3" s="68">
        <f t="shared" si="1"/>
        <v>45791</v>
      </c>
      <c r="R3" s="68">
        <f t="shared" si="1"/>
        <v>45792</v>
      </c>
      <c r="S3" s="68">
        <f t="shared" si="1"/>
        <v>45793</v>
      </c>
      <c r="T3" s="68">
        <f t="shared" si="1"/>
        <v>45794</v>
      </c>
      <c r="U3" s="200">
        <f t="shared" si="1"/>
        <v>45795</v>
      </c>
      <c r="V3" s="68">
        <f t="shared" si="1"/>
        <v>45796</v>
      </c>
      <c r="W3" s="68">
        <f t="shared" si="1"/>
        <v>45797</v>
      </c>
      <c r="X3" s="68">
        <f t="shared" si="1"/>
        <v>45798</v>
      </c>
      <c r="Y3" s="68">
        <f t="shared" si="1"/>
        <v>45799</v>
      </c>
      <c r="Z3" s="68">
        <f t="shared" si="1"/>
        <v>45800</v>
      </c>
      <c r="AA3" s="68">
        <f t="shared" si="1"/>
        <v>45801</v>
      </c>
      <c r="AB3" s="68">
        <f t="shared" si="1"/>
        <v>45802</v>
      </c>
      <c r="AC3" s="68">
        <f t="shared" si="1"/>
        <v>45803</v>
      </c>
      <c r="AD3" s="68">
        <f t="shared" si="1"/>
        <v>45804</v>
      </c>
      <c r="AE3" s="68">
        <f t="shared" si="1"/>
        <v>45805</v>
      </c>
      <c r="AF3" s="68">
        <f t="shared" si="1"/>
        <v>45806</v>
      </c>
      <c r="AG3" s="68">
        <f t="shared" si="1"/>
        <v>45807</v>
      </c>
      <c r="AH3" s="68">
        <f t="shared" si="1"/>
        <v>45808</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 t="shared" ref="AI4:AI23" si="2">SUM(D4:AH4)</f>
        <v>0</v>
      </c>
      <c r="AJ4" s="160">
        <f>MayTot.01/8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si="2"/>
        <v>0</v>
      </c>
      <c r="AJ5" s="160">
        <f>MayTot.02/8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MayTot.03/8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MayTot.04/8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MayTot.05/8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MayTot.06/8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MayTot.07/8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MayTot.08/8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MayTot.09/8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MayTot.10/8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MayTot.11/8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MayTot.12/8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MayTot.13/8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MayTot.14/8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MayTot.15/8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MayTot.16/8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MayTot.17/8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MayTot.18/8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MayTot.19/8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MayTot.20/8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ref="AI24" si="4">SUM(D24:AH24)</f>
        <v>0</v>
      </c>
      <c r="AJ24" s="161">
        <f>AI24/8</f>
        <v>0</v>
      </c>
      <c r="AK24" s="157" t="str">
        <f>IFERROR(AI24/$AI$28,"")</f>
        <v/>
      </c>
      <c r="AL24" s="133"/>
    </row>
    <row r="25" spans="2:38" ht="17.149999999999999" customHeight="1" x14ac:dyDescent="0.35">
      <c r="B25" s="65" t="s">
        <v>45</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72"/>
      <c r="AJ25" s="72"/>
      <c r="AK25" s="64"/>
    </row>
    <row r="26" spans="2:38" ht="17.149999999999999" customHeight="1" x14ac:dyDescent="0.35">
      <c r="B26" s="302" t="s">
        <v>46</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74">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47</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74">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row r="43" spans="2:38" ht="15" customHeight="1" x14ac:dyDescent="0.35"/>
    <row r="44" spans="2:38" ht="15.75" customHeight="1"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Ou3FCZSH7k7fchll6N/bH5Bw7cCm5lnSUXQopTaQ8JF+T2h2qgk2RXDhJx4FoGtVnH6A9Jp6XU6FXy/HJtYkkg==" saltValue="Q10gSLTwxGwxGknV8iC30A==" spinCount="100000" sheet="1" selectLockedCells="1"/>
  <mergeCells count="3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222" priority="2" operator="containsText" text="Erasmus+">
      <formula>NOT(ISERROR(SEARCH("Erasmus+",B4)))</formula>
    </cfRule>
    <cfRule type="containsText" dxfId="220" priority="4" operator="containsText" text="Other US">
      <formula>NOT(ISERROR(SEARCH("Other US",B4)))</formula>
    </cfRule>
    <cfRule type="containsText" dxfId="219" priority="5" operator="containsText" text="US Army">
      <formula>NOT(ISERROR(SEARCH("US Army",B4)))</formula>
    </cfRule>
    <cfRule type="containsText" dxfId="217" priority="7" operator="containsText" text="NIH">
      <formula>NOT(ISERROR(SEARCH("NIH",B4)))</formula>
    </cfRule>
    <cfRule type="containsText" dxfId="216" priority="8" operator="containsText" text="FP7">
      <formula>NOT(ISERROR(SEARCH("FP7",B4)))</formula>
    </cfRule>
    <cfRule type="containsText" dxfId="215" priority="9" operator="containsText" text="H2020">
      <formula>NOT(ISERROR(SEARCH("H2020",B4)))</formula>
    </cfRule>
    <cfRule type="containsText" dxfId="214" priority="10" operator="containsText" text="Sida">
      <formula>NOT(ISERROR(SEARCH("Sida",B4)))</formula>
    </cfRule>
    <cfRule type="containsText" dxfId="213" priority="11" operator="containsText" text="Other">
      <formula>NOT(ISERROR(SEARCH("Other",B4)))</formula>
    </cfRule>
  </conditionalFormatting>
  <conditionalFormatting sqref="D3:AH3">
    <cfRule type="expression" dxfId="212" priority="83">
      <formula>OR(WEEKDAY(D3,2)=6,WEEKDAY(D3,2)=7)</formula>
    </cfRule>
    <cfRule type="expression" dxfId="211" priority="84">
      <formula>INDEX(INDIRECT("Shortened[WorkHours]"),MATCH(D3,INDIRECT("Shortened[DateInYear]"),0),0)&gt;7</formula>
    </cfRule>
    <cfRule type="expression" dxfId="210" priority="85">
      <formula>INDEX(INDIRECT("Clamp[WorkHours]"),MATCH(D3,INDIRECT("Clamp[DateInYear]"),0),0)&gt;7</formula>
    </cfRule>
    <cfRule type="expression" dxfId="209" priority="86">
      <formula>AND(INDEX(INDIRECT("Clamp[WorkHours]"),MATCH(C3,INDIRECT("Clamp[DateInYear]"),0),0)&gt;0,INDEX(INDIRECT("Clamp[WorkHours]"),MATCH(C3,INDIRECT("Clamp[DateInYear]"),0),0)&lt;8)</formula>
    </cfRule>
    <cfRule type="expression" dxfId="208" priority="87">
      <formula>AND(INDEX(INDIRECT("Shortened[WorkHours]"),MATCH(D3,INDIRECT("Shortened[DateInYear]"),0),0)&gt;0,INDEX(INDIRECT("Shortened[WorkHours]"),MATCH(D3,INDIRECT("Shortened[DateInYear]"),0),0)&lt;8)</formula>
    </cfRule>
    <cfRule type="expression" dxfId="207" priority="88">
      <formula>MATCH(D3,INDIRECT("Fixed_dates[DateInYear]"),0)&gt;0</formula>
    </cfRule>
    <cfRule type="expression" dxfId="206" priority="89">
      <formula>MATCH(D3,INDIRECT("Fixed_weekdays[DateInYear]"),0)&gt;0</formula>
    </cfRule>
  </conditionalFormatting>
  <conditionalFormatting sqref="D4:AH24">
    <cfRule type="expression" dxfId="205" priority="36">
      <formula>D$2</formula>
    </cfRule>
  </conditionalFormatting>
  <conditionalFormatting sqref="D25:AH25">
    <cfRule type="iconSet" priority="68">
      <iconSet iconSet="3Flags">
        <cfvo type="percent" val="0"/>
        <cfvo type="percent" val="33"/>
        <cfvo type="percent" val="67"/>
      </iconSet>
    </cfRule>
    <cfRule type="iconSet" priority="69">
      <iconSet iconSet="3Flags">
        <cfvo type="percent" val="0"/>
        <cfvo type="percent" val="33"/>
        <cfvo type="percent" val="67"/>
      </iconSet>
    </cfRule>
  </conditionalFormatting>
  <conditionalFormatting sqref="D26:AH26">
    <cfRule type="cellIs" dxfId="204" priority="65" operator="greaterThan">
      <formula>24</formula>
    </cfRule>
    <cfRule type="cellIs" dxfId="203" priority="66" operator="greaterThan">
      <formula>14</formula>
    </cfRule>
  </conditionalFormatting>
  <conditionalFormatting sqref="J4:J7">
    <cfRule type="expression" dxfId="202" priority="91">
      <formula>J$2</formula>
    </cfRule>
  </conditionalFormatting>
  <conditionalFormatting sqref="J18:J22">
    <cfRule type="expression" dxfId="201" priority="82">
      <formula>J$2</formula>
    </cfRule>
  </conditionalFormatting>
  <conditionalFormatting sqref="J24">
    <cfRule type="expression" dxfId="200" priority="37">
      <formula>J$2</formula>
    </cfRule>
  </conditionalFormatting>
  <conditionalFormatting sqref="AI35">
    <cfRule type="expression" dxfId="199" priority="1">
      <formula>AJ$2</formula>
    </cfRule>
  </conditionalFormatting>
  <conditionalFormatting sqref="AK30">
    <cfRule type="expression" dxfId="198" priority="64">
      <formula>AL$2</formula>
    </cfRule>
  </conditionalFormatting>
  <dataValidations count="1">
    <dataValidation type="decimal" allowBlank="1" showInputMessage="1" showErrorMessage="1" errorTitle="ERROR !" error="You may report min 0,5 and max 24 hrs per WP or Project" sqref="D4:AH23" xr:uid="{00000000-0002-0000-08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DDCBE5BD-F78F-4FA3-84E4-F848B064F0DB}">
            <xm:f>NOT(ISERROR(SEARCH("HEU",B4)))</xm:f>
            <xm:f>"HEU"</xm:f>
            <x14:dxf>
              <fill>
                <patternFill>
                  <bgColor theme="8" tint="0.79998168889431442"/>
                </patternFill>
              </fill>
            </x14:dxf>
          </x14:cfRule>
          <x14:cfRule type="containsText" priority="6" operator="containsText" id="{662E369C-07DD-4790-9385-E75C43F71728}">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7" id="{67886CE6-AF9A-4C0A-AB7F-39906F0149A0}">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63" id="{5B340F90-F712-42F6-B1B1-07FF96137C4C}">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2" id="{60020252-9D91-45F2-BA61-C025E646E251}">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71" id="{84975058-9010-48EA-A623-4CE910E7F65F}">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70" id="{5CF04921-9927-419B-9F00-FE27CD5613FC}">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tabColor theme="5" tint="-0.249977111117893"/>
    <pageSetUpPr fitToPage="1"/>
  </sheetPr>
  <dimension ref="B1:AL165"/>
  <sheetViews>
    <sheetView showGridLines="0" showZeros="0" zoomScale="60" zoomScaleNormal="60" zoomScaleSheetLayoutView="55" workbookViewId="0">
      <selection activeCell="E4" sqref="E4"/>
    </sheetView>
  </sheetViews>
  <sheetFormatPr defaultColWidth="9.1796875" defaultRowHeight="15" customHeight="1" zeroHeight="1" x14ac:dyDescent="0.35"/>
  <cols>
    <col min="1" max="1" width="1.54296875" customWidth="1"/>
    <col min="2" max="2" width="40" customWidth="1"/>
    <col min="3" max="3" width="23" customWidth="1"/>
    <col min="4" max="33" width="5.1796875" customWidth="1"/>
    <col min="34" max="34" width="5.1796875" hidden="1" customWidth="1"/>
    <col min="35" max="36" width="8.1796875" customWidth="1"/>
    <col min="37" max="37" width="11.1796875" customWidth="1"/>
    <col min="38" max="38" width="33.81640625" customWidth="1"/>
    <col min="39" max="39" width="5.81640625" customWidth="1"/>
    <col min="40" max="40" width="9.1796875" customWidth="1"/>
  </cols>
  <sheetData>
    <row r="1" spans="2:38" ht="21" x14ac:dyDescent="0.35">
      <c r="B1" s="75" t="s">
        <v>62</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1</v>
      </c>
      <c r="J2" s="41" t="b">
        <f t="shared" ca="1" si="0"/>
        <v>1</v>
      </c>
      <c r="K2" s="41" t="b">
        <f t="shared" ca="1" si="0"/>
        <v>1</v>
      </c>
      <c r="L2" s="41" t="b">
        <f t="shared" ca="1" si="0"/>
        <v>0</v>
      </c>
      <c r="M2" s="41" t="b">
        <f t="shared" ca="1" si="0"/>
        <v>0</v>
      </c>
      <c r="N2" s="41" t="b">
        <f t="shared" ca="1" si="0"/>
        <v>0</v>
      </c>
      <c r="O2" s="41" t="b">
        <f t="shared" ca="1" si="0"/>
        <v>0</v>
      </c>
      <c r="P2" s="41" t="b">
        <f t="shared" ca="1" si="0"/>
        <v>0</v>
      </c>
      <c r="Q2" s="41" t="b">
        <f t="shared" ca="1" si="0"/>
        <v>1</v>
      </c>
      <c r="R2" s="90" t="b">
        <f t="shared" ca="1" si="0"/>
        <v>1</v>
      </c>
      <c r="S2" s="41" t="b">
        <f t="shared" ca="1" si="0"/>
        <v>0</v>
      </c>
      <c r="T2" s="41" t="b">
        <f t="shared" ca="1" si="0"/>
        <v>0</v>
      </c>
      <c r="U2" s="41" t="b">
        <f t="shared" ca="1" si="0"/>
        <v>0</v>
      </c>
      <c r="V2" s="41" t="b">
        <f t="shared" ca="1" si="0"/>
        <v>0</v>
      </c>
      <c r="W2" s="41" t="b">
        <f t="shared" ca="1" si="0"/>
        <v>1</v>
      </c>
      <c r="X2" s="41" t="b">
        <f t="shared" ca="1" si="0"/>
        <v>1</v>
      </c>
      <c r="Y2" s="41" t="b">
        <f t="shared" ca="1" si="0"/>
        <v>1</v>
      </c>
      <c r="Z2" s="41" t="b">
        <f t="shared" ca="1" si="0"/>
        <v>0</v>
      </c>
      <c r="AA2" s="41" t="b">
        <f t="shared" ca="1" si="0"/>
        <v>0</v>
      </c>
      <c r="AB2" s="41" t="b">
        <f t="shared" ca="1" si="0"/>
        <v>0</v>
      </c>
      <c r="AC2" s="41" t="b">
        <f t="shared" ca="1" si="0"/>
        <v>0</v>
      </c>
      <c r="AD2" s="41" t="b">
        <f t="shared" ca="1" si="0"/>
        <v>0</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0</v>
      </c>
      <c r="AH2" s="41" t="b">
        <f t="shared" ca="1" si="0"/>
        <v>0</v>
      </c>
      <c r="AI2" s="79"/>
      <c r="AJ2" s="79"/>
      <c r="AK2" s="91"/>
    </row>
    <row r="3" spans="2:38" ht="52" x14ac:dyDescent="0.35">
      <c r="B3" s="66" t="s">
        <v>37</v>
      </c>
      <c r="C3" s="67"/>
      <c r="D3" s="68">
        <f>DATEVALUE(AloxÅr&amp;"-"&amp;VLOOKUP(LEFT(B1,3),Holidays!$M$4:$N$15,2,0)&amp;"-1")</f>
        <v>45809</v>
      </c>
      <c r="E3" s="68">
        <f>DATE(YEAR(D3),MONTH(D3),DAY(D3)+1)</f>
        <v>45810</v>
      </c>
      <c r="F3" s="68">
        <f t="shared" ref="F3:AH3" si="1">DATE(YEAR(E3),MONTH(E3),DAY(E3)+1)</f>
        <v>45811</v>
      </c>
      <c r="G3" s="68">
        <f t="shared" si="1"/>
        <v>45812</v>
      </c>
      <c r="H3" s="68">
        <f t="shared" si="1"/>
        <v>45813</v>
      </c>
      <c r="I3" s="68">
        <f t="shared" si="1"/>
        <v>45814</v>
      </c>
      <c r="J3" s="68">
        <f t="shared" si="1"/>
        <v>45815</v>
      </c>
      <c r="K3" s="68">
        <f t="shared" si="1"/>
        <v>45816</v>
      </c>
      <c r="L3" s="68">
        <f t="shared" si="1"/>
        <v>45817</v>
      </c>
      <c r="M3" s="68">
        <f t="shared" si="1"/>
        <v>45818</v>
      </c>
      <c r="N3" s="68">
        <f t="shared" si="1"/>
        <v>45819</v>
      </c>
      <c r="O3" s="68">
        <f t="shared" si="1"/>
        <v>45820</v>
      </c>
      <c r="P3" s="68">
        <f t="shared" si="1"/>
        <v>45821</v>
      </c>
      <c r="Q3" s="68">
        <f t="shared" si="1"/>
        <v>45822</v>
      </c>
      <c r="R3" s="68">
        <f t="shared" si="1"/>
        <v>45823</v>
      </c>
      <c r="S3" s="68">
        <f t="shared" si="1"/>
        <v>45824</v>
      </c>
      <c r="T3" s="68">
        <f t="shared" si="1"/>
        <v>45825</v>
      </c>
      <c r="U3" s="68">
        <f t="shared" si="1"/>
        <v>45826</v>
      </c>
      <c r="V3" s="68">
        <f t="shared" si="1"/>
        <v>45827</v>
      </c>
      <c r="W3" s="68">
        <f t="shared" si="1"/>
        <v>45828</v>
      </c>
      <c r="X3" s="68">
        <f t="shared" si="1"/>
        <v>45829</v>
      </c>
      <c r="Y3" s="68">
        <f t="shared" si="1"/>
        <v>45830</v>
      </c>
      <c r="Z3" s="68">
        <f t="shared" si="1"/>
        <v>45831</v>
      </c>
      <c r="AA3" s="68">
        <f t="shared" si="1"/>
        <v>45832</v>
      </c>
      <c r="AB3" s="68">
        <f t="shared" si="1"/>
        <v>45833</v>
      </c>
      <c r="AC3" s="68">
        <f t="shared" si="1"/>
        <v>45834</v>
      </c>
      <c r="AD3" s="68">
        <f t="shared" si="1"/>
        <v>45835</v>
      </c>
      <c r="AE3" s="68">
        <f t="shared" si="1"/>
        <v>45836</v>
      </c>
      <c r="AF3" s="68">
        <f t="shared" si="1"/>
        <v>45837</v>
      </c>
      <c r="AG3" s="68">
        <f t="shared" si="1"/>
        <v>45838</v>
      </c>
      <c r="AH3" s="68">
        <f t="shared" si="1"/>
        <v>45839</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136"/>
      <c r="AI4" s="70">
        <f>SUM(D4:AG4)</f>
        <v>0</v>
      </c>
      <c r="AJ4" s="160">
        <f>JunTot.01/8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136"/>
      <c r="AI5" s="70">
        <f t="shared" ref="AI5:AI28" si="2">SUM(D5:AG5)</f>
        <v>0</v>
      </c>
      <c r="AJ5" s="160">
        <f>JunTot.02/8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136"/>
      <c r="AI6" s="70">
        <f t="shared" si="2"/>
        <v>0</v>
      </c>
      <c r="AJ6" s="160">
        <f>JunTot.03/8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136"/>
      <c r="AI7" s="70">
        <f t="shared" si="2"/>
        <v>0</v>
      </c>
      <c r="AJ7" s="160">
        <f>JunTot.04/8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136"/>
      <c r="AI8" s="70">
        <f t="shared" si="2"/>
        <v>0</v>
      </c>
      <c r="AJ8" s="160">
        <f>JunTot.05/8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136"/>
      <c r="AI9" s="70">
        <f t="shared" si="2"/>
        <v>0</v>
      </c>
      <c r="AJ9" s="160">
        <f>JunTot.06/8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136"/>
      <c r="AI10" s="70">
        <f t="shared" si="2"/>
        <v>0</v>
      </c>
      <c r="AJ10" s="160">
        <f>JunTot.07/8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136"/>
      <c r="AI11" s="70">
        <f t="shared" si="2"/>
        <v>0</v>
      </c>
      <c r="AJ11" s="160">
        <f>JunTot.08/8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136"/>
      <c r="AI12" s="70">
        <f t="shared" si="2"/>
        <v>0</v>
      </c>
      <c r="AJ12" s="160">
        <f>JunTot.09/8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136"/>
      <c r="AI13" s="70">
        <f t="shared" si="2"/>
        <v>0</v>
      </c>
      <c r="AJ13" s="160">
        <f>JunTot.10/8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136"/>
      <c r="AI14" s="70">
        <f t="shared" si="2"/>
        <v>0</v>
      </c>
      <c r="AJ14" s="160">
        <f>JunTot.11/8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136"/>
      <c r="AI15" s="70">
        <f t="shared" si="2"/>
        <v>0</v>
      </c>
      <c r="AJ15" s="160">
        <f>JunTot.12/8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135"/>
      <c r="AI16" s="70">
        <f t="shared" si="2"/>
        <v>0</v>
      </c>
      <c r="AJ16" s="160">
        <f>JunTot.13/8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135"/>
      <c r="AI17" s="70">
        <f t="shared" si="2"/>
        <v>0</v>
      </c>
      <c r="AJ17" s="160">
        <f>JunTot.14/8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136"/>
      <c r="AI18" s="70">
        <f t="shared" si="2"/>
        <v>0</v>
      </c>
      <c r="AJ18" s="160">
        <f>JunTot.15/8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136"/>
      <c r="AI19" s="70">
        <f t="shared" si="2"/>
        <v>0</v>
      </c>
      <c r="AJ19" s="160">
        <f>JunTot.16/8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136"/>
      <c r="AI20" s="70">
        <f t="shared" si="2"/>
        <v>0</v>
      </c>
      <c r="AJ20" s="160">
        <f>JunTot.17/8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136"/>
      <c r="AI21" s="70">
        <f t="shared" si="2"/>
        <v>0</v>
      </c>
      <c r="AJ21" s="160">
        <f>JunTot.18/8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136"/>
      <c r="AI22" s="70">
        <f t="shared" si="2"/>
        <v>0</v>
      </c>
      <c r="AJ22" s="160">
        <f>JunTot.19/8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136"/>
      <c r="AI23" s="70">
        <f t="shared" si="2"/>
        <v>0</v>
      </c>
      <c r="AJ23" s="160">
        <f>JunTot.20/8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t="e">
        <f>+SUM(#REF!)</f>
        <v>#REF!</v>
      </c>
      <c r="AI24" s="156">
        <f t="shared" si="2"/>
        <v>0</v>
      </c>
      <c r="AJ24" s="161">
        <f>AI24/8</f>
        <v>0</v>
      </c>
      <c r="AK24" s="157" t="str">
        <f>IFERROR(AI24/$AI$28,"")</f>
        <v/>
      </c>
      <c r="AL24" s="133"/>
    </row>
    <row r="25" spans="2:38" ht="17.149999999999999" customHeight="1" x14ac:dyDescent="0.35">
      <c r="B25" s="65" t="s">
        <v>45</v>
      </c>
      <c r="C25" s="64"/>
      <c r="D25" s="71">
        <f>D26</f>
        <v>0</v>
      </c>
      <c r="E25" s="71">
        <f t="shared" ref="E25:AG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c r="AI25" s="72"/>
      <c r="AJ25" s="72"/>
      <c r="AK25" s="64"/>
    </row>
    <row r="26" spans="2:38" ht="17.149999999999999" customHeight="1" x14ac:dyDescent="0.35">
      <c r="B26" s="302" t="s">
        <v>46</v>
      </c>
      <c r="C26" s="303"/>
      <c r="D26" s="73">
        <f t="shared" ref="D26:AG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SUM(AH4:AH23)</f>
        <v>0</v>
      </c>
      <c r="AI26" s="70">
        <f t="shared" si="2"/>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47</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t="e">
        <f>SUM(AH4:AH23,#REF!)</f>
        <v>#REF!</v>
      </c>
      <c r="AI28" s="70">
        <f t="shared" si="2"/>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Q39" s="307"/>
      <c r="R39" s="308"/>
      <c r="S39" s="308"/>
      <c r="T39" s="308"/>
      <c r="U39" s="308"/>
      <c r="V39" s="308"/>
      <c r="W39" s="307"/>
      <c r="X39" s="308"/>
      <c r="Y39" s="308"/>
      <c r="Z39" s="308"/>
      <c r="AA39" s="308"/>
      <c r="AB39" s="308"/>
      <c r="AC39" s="307"/>
      <c r="AD39" s="308"/>
      <c r="AE39" s="308"/>
      <c r="AF39" s="308"/>
      <c r="AG39" s="308"/>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c r="AC42" s="307"/>
      <c r="AD42" s="308"/>
      <c r="AE42" s="308"/>
      <c r="AF42" s="308"/>
      <c r="AG42" s="308"/>
      <c r="AH42" s="308"/>
    </row>
    <row r="43" spans="2:38" ht="15" customHeight="1" x14ac:dyDescent="0.35">
      <c r="B43" s="314"/>
      <c r="C43" s="314"/>
      <c r="D43" s="314"/>
      <c r="E43" s="314"/>
      <c r="F43" s="314"/>
      <c r="G43" s="314"/>
      <c r="H43" s="314"/>
      <c r="I43" s="314"/>
      <c r="J43" s="314"/>
      <c r="K43" s="314"/>
      <c r="AC43" s="307"/>
      <c r="AD43" s="308"/>
      <c r="AE43" s="308"/>
      <c r="AF43" s="308"/>
      <c r="AG43" s="308"/>
      <c r="AH43" s="308"/>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fJ4Fs/UfUxiKsA6I44xiNh8vKPO6vmypScHt5YMHJIRwTPYUSWFqNO8rAxsMJdBIbqsH1TccxMM2b0SWMeh6ew==" saltValue="g45VlyjJuRRLp1tzrMonfA==" spinCount="100000" sheet="1" selectLockedCells="1"/>
  <mergeCells count="39">
    <mergeCell ref="AC39:AG39"/>
    <mergeCell ref="Q36:Z38"/>
    <mergeCell ref="AC36:AL38"/>
    <mergeCell ref="B42:K43"/>
    <mergeCell ref="AK30:AL30"/>
    <mergeCell ref="Q33:AI33"/>
    <mergeCell ref="X32:AA32"/>
    <mergeCell ref="AB32:AC32"/>
    <mergeCell ref="AE32:AH32"/>
    <mergeCell ref="AC41:AH41"/>
    <mergeCell ref="AC42:AH42"/>
    <mergeCell ref="AC43:AH43"/>
    <mergeCell ref="AC40:AH40"/>
    <mergeCell ref="Q39:V39"/>
    <mergeCell ref="W39:AB39"/>
    <mergeCell ref="B14:C14"/>
    <mergeCell ref="B15:C15"/>
    <mergeCell ref="B16:C16"/>
    <mergeCell ref="B8:C8"/>
    <mergeCell ref="B4:C4"/>
    <mergeCell ref="B5:C5"/>
    <mergeCell ref="B6:C6"/>
    <mergeCell ref="B7:C7"/>
    <mergeCell ref="B9:C9"/>
    <mergeCell ref="B10:C10"/>
    <mergeCell ref="B11:C11"/>
    <mergeCell ref="B12:C12"/>
    <mergeCell ref="B13:C13"/>
    <mergeCell ref="B28:C28"/>
    <mergeCell ref="Q31:AI31"/>
    <mergeCell ref="Q30:AI30"/>
    <mergeCell ref="B17:C17"/>
    <mergeCell ref="B18:C18"/>
    <mergeCell ref="B19:C19"/>
    <mergeCell ref="B21:C21"/>
    <mergeCell ref="B22:C22"/>
    <mergeCell ref="B23:C23"/>
    <mergeCell ref="B26:C26"/>
    <mergeCell ref="B20:C20"/>
  </mergeCells>
  <conditionalFormatting sqref="B4:C23">
    <cfRule type="containsText" dxfId="197" priority="2" operator="containsText" text="Erasmus+">
      <formula>NOT(ISERROR(SEARCH("Erasmus+",B4)))</formula>
    </cfRule>
    <cfRule type="containsText" dxfId="195" priority="4" operator="containsText" text="Other US">
      <formula>NOT(ISERROR(SEARCH("Other US",B4)))</formula>
    </cfRule>
    <cfRule type="containsText" dxfId="194" priority="5" operator="containsText" text="US Army">
      <formula>NOT(ISERROR(SEARCH("US Army",B4)))</formula>
    </cfRule>
    <cfRule type="containsText" dxfId="192" priority="7" operator="containsText" text="NIH">
      <formula>NOT(ISERROR(SEARCH("NIH",B4)))</formula>
    </cfRule>
    <cfRule type="containsText" dxfId="191" priority="8" operator="containsText" text="FP7">
      <formula>NOT(ISERROR(SEARCH("FP7",B4)))</formula>
    </cfRule>
    <cfRule type="containsText" dxfId="190" priority="9" operator="containsText" text="H2020">
      <formula>NOT(ISERROR(SEARCH("H2020",B4)))</formula>
    </cfRule>
    <cfRule type="containsText" dxfId="189" priority="10" operator="containsText" text="Sida">
      <formula>NOT(ISERROR(SEARCH("Sida",B4)))</formula>
    </cfRule>
    <cfRule type="containsText" dxfId="188" priority="11" operator="containsText" text="Other">
      <formula>NOT(ISERROR(SEARCH("Other",B4)))</formula>
    </cfRule>
  </conditionalFormatting>
  <conditionalFormatting sqref="D25:AG25">
    <cfRule type="iconSet" priority="70">
      <iconSet iconSet="3Flags">
        <cfvo type="percent" val="0"/>
        <cfvo type="percent" val="33"/>
        <cfvo type="percent" val="67"/>
      </iconSet>
    </cfRule>
    <cfRule type="iconSet" priority="71">
      <iconSet iconSet="3Flags">
        <cfvo type="percent" val="0"/>
        <cfvo type="percent" val="33"/>
        <cfvo type="percent" val="67"/>
      </iconSet>
    </cfRule>
  </conditionalFormatting>
  <conditionalFormatting sqref="D26:AG26">
    <cfRule type="cellIs" dxfId="187" priority="62" operator="greaterThan">
      <formula>24</formula>
    </cfRule>
    <cfRule type="cellIs" dxfId="186" priority="63" operator="greaterThan">
      <formula>14</formula>
    </cfRule>
  </conditionalFormatting>
  <conditionalFormatting sqref="D3:AH3">
    <cfRule type="expression" dxfId="185" priority="85">
      <formula>OR(WEEKDAY(D3,2)=6,WEEKDAY(D3,2)=7)</formula>
    </cfRule>
    <cfRule type="expression" dxfId="184" priority="86">
      <formula>INDEX(INDIRECT("Shortened[WorkHours]"),MATCH(D3,INDIRECT("Shortened[DateInYear]"),0),0)&gt;7</formula>
    </cfRule>
    <cfRule type="expression" dxfId="183" priority="87">
      <formula>INDEX(INDIRECT("Clamp[WorkHours]"),MATCH(D3,INDIRECT("Clamp[DateInYear]"),0),0)&gt;7</formula>
    </cfRule>
    <cfRule type="expression" dxfId="182" priority="88">
      <formula>AND(INDEX(INDIRECT("Clamp[WorkHours]"),MATCH(C3,INDIRECT("Clamp[DateInYear]"),0),0)&gt;0,INDEX(INDIRECT("Clamp[WorkHours]"),MATCH(C3,INDIRECT("Clamp[DateInYear]"),0),0)&lt;8)</formula>
    </cfRule>
    <cfRule type="expression" dxfId="181" priority="89">
      <formula>AND(INDEX(INDIRECT("Shortened[WorkHours]"),MATCH(D3,INDIRECT("Shortened[DateInYear]"),0),0)&gt;0,INDEX(INDIRECT("Shortened[WorkHours]"),MATCH(D3,INDIRECT("Shortened[DateInYear]"),0),0)&lt;8)</formula>
    </cfRule>
    <cfRule type="expression" dxfId="180" priority="90">
      <formula>MATCH(D3,INDIRECT("Fixed_dates[DateInYear]"),0)&gt;0</formula>
    </cfRule>
    <cfRule type="expression" dxfId="179" priority="91">
      <formula>MATCH(D3,INDIRECT("Fixed_weekdays[DateInYear]"),0)&gt;0</formula>
    </cfRule>
  </conditionalFormatting>
  <conditionalFormatting sqref="D4:AH24">
    <cfRule type="expression" dxfId="178" priority="36">
      <formula>D$2</formula>
    </cfRule>
  </conditionalFormatting>
  <conditionalFormatting sqref="J4:J7">
    <cfRule type="expression" dxfId="177" priority="93">
      <formula>J$2</formula>
    </cfRule>
  </conditionalFormatting>
  <conditionalFormatting sqref="J18:J22">
    <cfRule type="expression" dxfId="176" priority="84">
      <formula>J$2</formula>
    </cfRule>
  </conditionalFormatting>
  <conditionalFormatting sqref="J24">
    <cfRule type="expression" dxfId="175" priority="37">
      <formula>J$2</formula>
    </cfRule>
  </conditionalFormatting>
  <conditionalFormatting sqref="AI35">
    <cfRule type="expression" dxfId="174" priority="1">
      <formula>AJ$2</formula>
    </cfRule>
  </conditionalFormatting>
  <conditionalFormatting sqref="AK30">
    <cfRule type="expression" dxfId="173" priority="66">
      <formula>AL$2</formula>
    </cfRule>
  </conditionalFormatting>
  <dataValidations count="1">
    <dataValidation type="decimal" allowBlank="1" showInputMessage="1" showErrorMessage="1" errorTitle="ERROR !" error="You may report min 0,5 and max 24 hrs per WP or Project" sqref="D4:AG23" xr:uid="{00000000-0002-0000-09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8B8A882B-F60E-41D8-B1BA-51B6B5642BC9}">
            <xm:f>NOT(ISERROR(SEARCH("HEU",B4)))</xm:f>
            <xm:f>"HEU"</xm:f>
            <x14:dxf>
              <fill>
                <patternFill>
                  <bgColor theme="8" tint="0.79998168889431442"/>
                </patternFill>
              </fill>
            </x14:dxf>
          </x14:cfRule>
          <x14:cfRule type="containsText" priority="6" operator="containsText" id="{C43E3786-F08E-4410-BF55-B2A720C75CB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9" id="{E0F0FBE7-A4A4-4807-BF05-705BE50241E3}">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D25:AG25</xm:sqref>
        </x14:conditionalFormatting>
        <x14:conditionalFormatting xmlns:xm="http://schemas.microsoft.com/office/excel/2006/main">
          <x14:cfRule type="iconSet" priority="65" id="{C5579A5B-5017-4774-B2F8-88DFB89142FB}">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4" id="{45BAE176-B485-413A-A834-0DBFE450074E}">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8">
    <tabColor theme="5" tint="-0.249977111117893"/>
    <pageSetUpPr fitToPage="1"/>
  </sheetPr>
  <dimension ref="B1:AL165"/>
  <sheetViews>
    <sheetView showGridLines="0" showZeros="0" zoomScale="60" zoomScaleNormal="60" zoomScaleSheetLayoutView="55" workbookViewId="0">
      <selection activeCell="D4" sqref="D4"/>
    </sheetView>
  </sheetViews>
  <sheetFormatPr defaultColWidth="9.1796875" defaultRowHeight="15" customHeight="1" zeroHeight="1" x14ac:dyDescent="0.35"/>
  <cols>
    <col min="1" max="1" width="1.54296875" customWidth="1"/>
    <col min="2" max="2" width="40" customWidth="1"/>
    <col min="3" max="3" width="23" customWidth="1"/>
    <col min="4" max="32" width="5.1796875" customWidth="1"/>
    <col min="33" max="33" width="5.54296875" customWidth="1"/>
    <col min="34" max="34" width="5.81640625" customWidth="1"/>
    <col min="35" max="36" width="9" customWidth="1"/>
    <col min="37" max="37" width="11.1796875" customWidth="1"/>
    <col min="38" max="38" width="29.1796875" customWidth="1"/>
    <col min="39" max="39" width="5.81640625" customWidth="1"/>
    <col min="40" max="40" width="9.1796875" customWidth="1"/>
  </cols>
  <sheetData>
    <row r="1" spans="2:38" ht="21" x14ac:dyDescent="0.35">
      <c r="B1" s="75" t="s">
        <v>63</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1</v>
      </c>
      <c r="I2" s="41" t="b">
        <f t="shared" ca="1" si="0"/>
        <v>1</v>
      </c>
      <c r="J2" s="41" t="b">
        <f t="shared" ca="1" si="0"/>
        <v>0</v>
      </c>
      <c r="K2" s="41" t="b">
        <f t="shared" ca="1" si="0"/>
        <v>0</v>
      </c>
      <c r="L2" s="41" t="b">
        <f t="shared" ca="1" si="0"/>
        <v>0</v>
      </c>
      <c r="M2" s="41" t="b">
        <f t="shared" ca="1" si="0"/>
        <v>0</v>
      </c>
      <c r="N2" s="41" t="b">
        <f t="shared" ca="1" si="0"/>
        <v>0</v>
      </c>
      <c r="O2" s="41" t="b">
        <f t="shared" ca="1" si="0"/>
        <v>1</v>
      </c>
      <c r="P2" s="41" t="b">
        <f t="shared" ca="1" si="0"/>
        <v>1</v>
      </c>
      <c r="Q2" s="41" t="b">
        <f t="shared" ca="1" si="0"/>
        <v>0</v>
      </c>
      <c r="R2" s="90" t="b">
        <f t="shared" ca="1" si="0"/>
        <v>0</v>
      </c>
      <c r="S2" s="41" t="b">
        <f t="shared" ca="1" si="0"/>
        <v>0</v>
      </c>
      <c r="T2" s="41" t="b">
        <f t="shared" ca="1" si="0"/>
        <v>0</v>
      </c>
      <c r="U2" s="41" t="b">
        <f t="shared" ca="1" si="0"/>
        <v>0</v>
      </c>
      <c r="V2" s="41" t="b">
        <f t="shared" ca="1" si="0"/>
        <v>1</v>
      </c>
      <c r="W2" s="41" t="b">
        <f t="shared" ca="1" si="0"/>
        <v>1</v>
      </c>
      <c r="X2" s="41" t="b">
        <f t="shared" ca="1" si="0"/>
        <v>0</v>
      </c>
      <c r="Y2" s="41" t="b">
        <f t="shared" ca="1" si="0"/>
        <v>0</v>
      </c>
      <c r="Z2" s="41" t="b">
        <f t="shared" ca="1" si="0"/>
        <v>0</v>
      </c>
      <c r="AA2" s="41" t="b">
        <f t="shared" ca="1" si="0"/>
        <v>0</v>
      </c>
      <c r="AB2" s="41" t="b">
        <f t="shared" ca="1" si="0"/>
        <v>0</v>
      </c>
      <c r="AC2" s="41" t="b">
        <f t="shared" ca="1" si="0"/>
        <v>1</v>
      </c>
      <c r="AD2" s="41" t="b">
        <f t="shared" ca="1" si="0"/>
        <v>1</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91"/>
      <c r="AJ2" s="91"/>
      <c r="AK2" s="91"/>
    </row>
    <row r="3" spans="2:38" ht="52" x14ac:dyDescent="0.35">
      <c r="B3" s="66" t="s">
        <v>37</v>
      </c>
      <c r="C3" s="67"/>
      <c r="D3" s="68">
        <f>DATEVALUE(AloxÅr&amp;"-"&amp;VLOOKUP(LEFT(B1,3),Holidays!$M$4:$N$15,2,0)&amp;"-1")</f>
        <v>45839</v>
      </c>
      <c r="E3" s="68">
        <f>DATE(YEAR(D3),MONTH(D3),DAY(D3)+1)</f>
        <v>45840</v>
      </c>
      <c r="F3" s="68">
        <f t="shared" ref="F3:AH3" si="1">DATE(YEAR(E3),MONTH(E3),DAY(E3)+1)</f>
        <v>45841</v>
      </c>
      <c r="G3" s="68">
        <f t="shared" si="1"/>
        <v>45842</v>
      </c>
      <c r="H3" s="68">
        <f t="shared" si="1"/>
        <v>45843</v>
      </c>
      <c r="I3" s="68">
        <f t="shared" si="1"/>
        <v>45844</v>
      </c>
      <c r="J3" s="68">
        <f t="shared" si="1"/>
        <v>45845</v>
      </c>
      <c r="K3" s="68">
        <f t="shared" si="1"/>
        <v>45846</v>
      </c>
      <c r="L3" s="68">
        <f t="shared" si="1"/>
        <v>45847</v>
      </c>
      <c r="M3" s="68">
        <f t="shared" si="1"/>
        <v>45848</v>
      </c>
      <c r="N3" s="68">
        <f t="shared" si="1"/>
        <v>45849</v>
      </c>
      <c r="O3" s="68">
        <f t="shared" si="1"/>
        <v>45850</v>
      </c>
      <c r="P3" s="68">
        <f t="shared" si="1"/>
        <v>45851</v>
      </c>
      <c r="Q3" s="68">
        <f t="shared" si="1"/>
        <v>45852</v>
      </c>
      <c r="R3" s="68">
        <f t="shared" si="1"/>
        <v>45853</v>
      </c>
      <c r="S3" s="68">
        <f t="shared" si="1"/>
        <v>45854</v>
      </c>
      <c r="T3" s="68">
        <f t="shared" si="1"/>
        <v>45855</v>
      </c>
      <c r="U3" s="68">
        <f t="shared" si="1"/>
        <v>45856</v>
      </c>
      <c r="V3" s="68">
        <f t="shared" si="1"/>
        <v>45857</v>
      </c>
      <c r="W3" s="68">
        <f t="shared" si="1"/>
        <v>45858</v>
      </c>
      <c r="X3" s="68">
        <f t="shared" si="1"/>
        <v>45859</v>
      </c>
      <c r="Y3" s="68">
        <f t="shared" si="1"/>
        <v>45860</v>
      </c>
      <c r="Z3" s="68">
        <f t="shared" si="1"/>
        <v>45861</v>
      </c>
      <c r="AA3" s="68">
        <f t="shared" si="1"/>
        <v>45862</v>
      </c>
      <c r="AB3" s="68">
        <f t="shared" si="1"/>
        <v>45863</v>
      </c>
      <c r="AC3" s="68">
        <f t="shared" si="1"/>
        <v>45864</v>
      </c>
      <c r="AD3" s="68">
        <f t="shared" si="1"/>
        <v>45865</v>
      </c>
      <c r="AE3" s="68">
        <f t="shared" si="1"/>
        <v>45866</v>
      </c>
      <c r="AF3" s="68">
        <f t="shared" si="1"/>
        <v>45867</v>
      </c>
      <c r="AG3" s="68">
        <f t="shared" si="1"/>
        <v>45868</v>
      </c>
      <c r="AH3" s="68">
        <f t="shared" si="1"/>
        <v>45869</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136"/>
      <c r="AE4" s="69"/>
      <c r="AF4" s="69"/>
      <c r="AG4" s="69"/>
      <c r="AH4" s="69"/>
      <c r="AI4" s="168">
        <f>SUM(D4:AH4)</f>
        <v>0</v>
      </c>
      <c r="AJ4" s="160">
        <f>JulTot.01/8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136"/>
      <c r="AE5" s="69"/>
      <c r="AF5" s="69"/>
      <c r="AG5" s="69"/>
      <c r="AH5" s="69"/>
      <c r="AI5" s="168">
        <f t="shared" ref="AI5:AI23" si="2">SUM(D5:AH5)</f>
        <v>0</v>
      </c>
      <c r="AJ5" s="160">
        <f>JulTot.02/8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136"/>
      <c r="AE6" s="69"/>
      <c r="AF6" s="69"/>
      <c r="AG6" s="69"/>
      <c r="AH6" s="69"/>
      <c r="AI6" s="168">
        <f>SUM(D6:AH6)</f>
        <v>0</v>
      </c>
      <c r="AJ6" s="160">
        <f>JulTot.03/8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136"/>
      <c r="AE7" s="69"/>
      <c r="AF7" s="69"/>
      <c r="AG7" s="69"/>
      <c r="AH7" s="69"/>
      <c r="AI7" s="168">
        <f t="shared" si="2"/>
        <v>0</v>
      </c>
      <c r="AJ7" s="160">
        <f>JulTot.04/8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136"/>
      <c r="AE8" s="69"/>
      <c r="AF8" s="69"/>
      <c r="AG8" s="69"/>
      <c r="AH8" s="69"/>
      <c r="AI8" s="168">
        <f t="shared" si="2"/>
        <v>0</v>
      </c>
      <c r="AJ8" s="160">
        <f>JulTot.05/8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136"/>
      <c r="AE9" s="69"/>
      <c r="AF9" s="69"/>
      <c r="AG9" s="69"/>
      <c r="AH9" s="69"/>
      <c r="AI9" s="168">
        <f t="shared" si="2"/>
        <v>0</v>
      </c>
      <c r="AJ9" s="160">
        <f>JulTot.06/8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136"/>
      <c r="AE10" s="69"/>
      <c r="AF10" s="69"/>
      <c r="AG10" s="69"/>
      <c r="AH10" s="69"/>
      <c r="AI10" s="168">
        <f t="shared" si="2"/>
        <v>0</v>
      </c>
      <c r="AJ10" s="160">
        <f>JulTot.07/8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136"/>
      <c r="AE11" s="69"/>
      <c r="AF11" s="69"/>
      <c r="AG11" s="69"/>
      <c r="AH11" s="69"/>
      <c r="AI11" s="168">
        <f t="shared" si="2"/>
        <v>0</v>
      </c>
      <c r="AJ11" s="160">
        <f>JulTot.08/8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136"/>
      <c r="AE12" s="69"/>
      <c r="AF12" s="69"/>
      <c r="AG12" s="69"/>
      <c r="AH12" s="69"/>
      <c r="AI12" s="168">
        <f t="shared" si="2"/>
        <v>0</v>
      </c>
      <c r="AJ12" s="160">
        <f>JulTot.09/8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136"/>
      <c r="AE13" s="69"/>
      <c r="AF13" s="69"/>
      <c r="AG13" s="69"/>
      <c r="AH13" s="69"/>
      <c r="AI13" s="168">
        <f t="shared" si="2"/>
        <v>0</v>
      </c>
      <c r="AJ13" s="160">
        <f>JulTot.10/8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136"/>
      <c r="AE14" s="69"/>
      <c r="AF14" s="69"/>
      <c r="AG14" s="69"/>
      <c r="AH14" s="69"/>
      <c r="AI14" s="168">
        <f t="shared" si="2"/>
        <v>0</v>
      </c>
      <c r="AJ14" s="160">
        <f>JulTot.11/8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136"/>
      <c r="AE15" s="69"/>
      <c r="AF15" s="69"/>
      <c r="AG15" s="69"/>
      <c r="AH15" s="69"/>
      <c r="AI15" s="168">
        <f t="shared" si="2"/>
        <v>0</v>
      </c>
      <c r="AJ15" s="160">
        <f>JulTot.12/8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136"/>
      <c r="AE16" s="69"/>
      <c r="AF16" s="69"/>
      <c r="AG16" s="69"/>
      <c r="AH16" s="69"/>
      <c r="AI16" s="168">
        <f t="shared" si="2"/>
        <v>0</v>
      </c>
      <c r="AJ16" s="160">
        <f>JulTot.13/8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136"/>
      <c r="AE17" s="69"/>
      <c r="AF17" s="69"/>
      <c r="AG17" s="69"/>
      <c r="AH17" s="69"/>
      <c r="AI17" s="168">
        <f t="shared" si="2"/>
        <v>0</v>
      </c>
      <c r="AJ17" s="160">
        <f>JulTot.14/8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136"/>
      <c r="AE18" s="69"/>
      <c r="AF18" s="69"/>
      <c r="AG18" s="69"/>
      <c r="AH18" s="69"/>
      <c r="AI18" s="168">
        <f t="shared" si="2"/>
        <v>0</v>
      </c>
      <c r="AJ18" s="160">
        <f>JulTot.15/8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136"/>
      <c r="AE19" s="69"/>
      <c r="AF19" s="69"/>
      <c r="AG19" s="69"/>
      <c r="AH19" s="69"/>
      <c r="AI19" s="168">
        <f t="shared" si="2"/>
        <v>0</v>
      </c>
      <c r="AJ19" s="160">
        <f>JulTot.16/8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136"/>
      <c r="AE20" s="69"/>
      <c r="AF20" s="69"/>
      <c r="AG20" s="69"/>
      <c r="AH20" s="69"/>
      <c r="AI20" s="168">
        <f t="shared" si="2"/>
        <v>0</v>
      </c>
      <c r="AJ20" s="160">
        <f>JulTot.17/8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136"/>
      <c r="AE21" s="69"/>
      <c r="AF21" s="69"/>
      <c r="AG21" s="69"/>
      <c r="AH21" s="69"/>
      <c r="AI21" s="168">
        <f t="shared" si="2"/>
        <v>0</v>
      </c>
      <c r="AJ21" s="160">
        <f>JulTot.18/8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136"/>
      <c r="AE22" s="69"/>
      <c r="AF22" s="69"/>
      <c r="AG22" s="69"/>
      <c r="AH22" s="69"/>
      <c r="AI22" s="168">
        <f t="shared" si="2"/>
        <v>0</v>
      </c>
      <c r="AJ22" s="160">
        <f>JulTot.19/8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136"/>
      <c r="AE23" s="69"/>
      <c r="AF23" s="69"/>
      <c r="AG23" s="69"/>
      <c r="AH23" s="69"/>
      <c r="AI23" s="168">
        <f t="shared" si="2"/>
        <v>0</v>
      </c>
      <c r="AJ23" s="160">
        <f>JulTot.20/8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217"/>
      <c r="AE24" s="155"/>
      <c r="AF24" s="155"/>
      <c r="AG24" s="155"/>
      <c r="AH24" s="155"/>
      <c r="AI24" s="161">
        <f t="shared" ref="AI24" si="4">SUM(D24:AH24)</f>
        <v>0</v>
      </c>
      <c r="AJ24" s="161">
        <f>AI24/8</f>
        <v>0</v>
      </c>
      <c r="AK24" s="157" t="str">
        <f>IFERROR(AI24/$AI$28,"")</f>
        <v/>
      </c>
      <c r="AL24" s="133"/>
    </row>
    <row r="25" spans="2:38" ht="17.149999999999999" customHeight="1" x14ac:dyDescent="0.35">
      <c r="B25" s="65" t="s">
        <v>45</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167"/>
      <c r="AJ25" s="72"/>
      <c r="AK25" s="64"/>
    </row>
    <row r="26" spans="2:38" ht="17.149999999999999" customHeight="1" x14ac:dyDescent="0.35">
      <c r="B26" s="302" t="s">
        <v>46</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160">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167"/>
      <c r="AJ27" s="64"/>
    </row>
    <row r="28" spans="2:38" ht="17.149999999999999" customHeight="1" x14ac:dyDescent="0.35">
      <c r="B28" s="302" t="s">
        <v>47</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160">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169"/>
      <c r="AJ29" s="11"/>
      <c r="AK29" s="11"/>
    </row>
    <row r="30" spans="2:38" ht="17.149999999999999"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49"/>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2"/>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52"/>
      <c r="AJ34" s="52"/>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c r="AC42" s="307"/>
      <c r="AD42" s="308"/>
      <c r="AE42" s="308"/>
      <c r="AF42" s="308"/>
      <c r="AG42" s="308"/>
      <c r="AH42" s="308"/>
    </row>
    <row r="43" spans="2:38" ht="15" customHeight="1" x14ac:dyDescent="0.35">
      <c r="B43" s="314"/>
      <c r="C43" s="314"/>
      <c r="D43" s="314"/>
      <c r="E43" s="314"/>
      <c r="F43" s="314"/>
      <c r="G43" s="314"/>
      <c r="H43" s="314"/>
      <c r="I43" s="314"/>
      <c r="J43" s="314"/>
      <c r="K43" s="314"/>
      <c r="AC43" s="307"/>
      <c r="AD43" s="308"/>
      <c r="AE43" s="308"/>
      <c r="AF43" s="308"/>
      <c r="AG43" s="308"/>
      <c r="AH43" s="308"/>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spans="20:20" ht="14.5" x14ac:dyDescent="0.35"/>
    <row r="82" spans="20:20" ht="14.5" x14ac:dyDescent="0.35"/>
    <row r="83" spans="20:20" ht="14.5" x14ac:dyDescent="0.35"/>
    <row r="84" spans="20:20" ht="14.5" x14ac:dyDescent="0.35"/>
    <row r="85" spans="20:20" ht="14.5" x14ac:dyDescent="0.35"/>
    <row r="86" spans="20:20" ht="14.5" x14ac:dyDescent="0.35"/>
    <row r="87" spans="20:20" ht="14.5" x14ac:dyDescent="0.35"/>
    <row r="88" spans="20:20" ht="14.5" x14ac:dyDescent="0.35"/>
    <row r="89" spans="20:20" ht="14.5" x14ac:dyDescent="0.35"/>
    <row r="90" spans="20:20" ht="14.5" x14ac:dyDescent="0.35"/>
    <row r="91" spans="20:20" ht="14.5" x14ac:dyDescent="0.35"/>
    <row r="92" spans="20:20" ht="14.5" x14ac:dyDescent="0.35">
      <c r="T92" s="132"/>
    </row>
    <row r="93" spans="20:20" ht="14.5" x14ac:dyDescent="0.35"/>
    <row r="94" spans="20:20" ht="14.5" x14ac:dyDescent="0.35"/>
    <row r="95" spans="20:20" ht="14.5" x14ac:dyDescent="0.35"/>
    <row r="96" spans="20:20"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uip2Fh3vuBGVkCix/DTzCAjqZ+ZGQgWaoDWxn7x16YV05NOnpNeoXH7NZdHM/MJcIAdhn54EdE4pxogx5+iPUg==" saltValue="Q1M50oN9gbqoJ6L59zzzyg==" spinCount="100000" sheet="1" selectLockedCells="1"/>
  <mergeCells count="36">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2:AH42"/>
    <mergeCell ref="AC43:AH43"/>
    <mergeCell ref="AC40:AH40"/>
    <mergeCell ref="AK30:AL30"/>
    <mergeCell ref="Q30:AI30"/>
    <mergeCell ref="X32:AA32"/>
    <mergeCell ref="AB32:AC32"/>
    <mergeCell ref="AE32:AH32"/>
    <mergeCell ref="Q33:AI33"/>
    <mergeCell ref="Q31:AI31"/>
    <mergeCell ref="Q36:Z38"/>
    <mergeCell ref="AC36:AL38"/>
  </mergeCells>
  <conditionalFormatting sqref="B4:C23">
    <cfRule type="containsText" dxfId="172" priority="2" operator="containsText" text="Erasmus+">
      <formula>NOT(ISERROR(SEARCH("Erasmus+",B4)))</formula>
    </cfRule>
    <cfRule type="containsText" dxfId="170" priority="4" operator="containsText" text="Other US">
      <formula>NOT(ISERROR(SEARCH("Other US",B4)))</formula>
    </cfRule>
    <cfRule type="containsText" dxfId="169" priority="5" operator="containsText" text="US Army">
      <formula>NOT(ISERROR(SEARCH("US Army",B4)))</formula>
    </cfRule>
    <cfRule type="containsText" dxfId="167" priority="7" operator="containsText" text="NIH">
      <formula>NOT(ISERROR(SEARCH("NIH",B4)))</formula>
    </cfRule>
    <cfRule type="containsText" dxfId="166" priority="8" operator="containsText" text="FP7">
      <formula>NOT(ISERROR(SEARCH("FP7",B4)))</formula>
    </cfRule>
    <cfRule type="containsText" dxfId="165" priority="9" operator="containsText" text="H2020">
      <formula>NOT(ISERROR(SEARCH("H2020",B4)))</formula>
    </cfRule>
    <cfRule type="containsText" dxfId="164" priority="10" operator="containsText" text="Sida">
      <formula>NOT(ISERROR(SEARCH("Sida",B4)))</formula>
    </cfRule>
    <cfRule type="containsText" dxfId="163" priority="11" operator="containsText" text="Other">
      <formula>NOT(ISERROR(SEARCH("Other",B4)))</formula>
    </cfRule>
  </conditionalFormatting>
  <conditionalFormatting sqref="D3:AH3">
    <cfRule type="expression" dxfId="162" priority="88">
      <formula>OR(WEEKDAY(D3,2)=6,WEEKDAY(D3,2)=7)</formula>
    </cfRule>
    <cfRule type="expression" dxfId="161" priority="89">
      <formula>INDEX(INDIRECT("Shortened[WorkHours]"),MATCH(D3,INDIRECT("Shortened[DateInYear]"),0),0)&gt;7</formula>
    </cfRule>
    <cfRule type="expression" dxfId="160" priority="90">
      <formula>INDEX(INDIRECT("Clamp[WorkHours]"),MATCH(D3,INDIRECT("Clamp[DateInYear]"),0),0)&gt;7</formula>
    </cfRule>
    <cfRule type="expression" dxfId="159" priority="91">
      <formula>AND(INDEX(INDIRECT("Clamp[WorkHours]"),MATCH(C3,INDIRECT("Clamp[DateInYear]"),0),0)&gt;0,INDEX(INDIRECT("Clamp[WorkHours]"),MATCH(C3,INDIRECT("Clamp[DateInYear]"),0),0)&lt;8)</formula>
    </cfRule>
    <cfRule type="expression" dxfId="158" priority="92">
      <formula>AND(INDEX(INDIRECT("Shortened[WorkHours]"),MATCH(D3,INDIRECT("Shortened[DateInYear]"),0),0)&gt;0,INDEX(INDIRECT("Shortened[WorkHours]"),MATCH(D3,INDIRECT("Shortened[DateInYear]"),0),0)&lt;8)</formula>
    </cfRule>
    <cfRule type="expression" dxfId="157" priority="93">
      <formula>MATCH(D3,INDIRECT("Fixed_dates[DateInYear]"),0)&gt;0</formula>
    </cfRule>
    <cfRule type="expression" dxfId="156" priority="94">
      <formula>MATCH(D3,INDIRECT("Fixed_weekdays[DateInYear]"),0)&gt;0</formula>
    </cfRule>
  </conditionalFormatting>
  <conditionalFormatting sqref="D4:AH24">
    <cfRule type="expression" dxfId="155" priority="36">
      <formula>D$2</formula>
    </cfRule>
  </conditionalFormatting>
  <conditionalFormatting sqref="D25:AH25">
    <cfRule type="iconSet" priority="73">
      <iconSet iconSet="3Flags">
        <cfvo type="percent" val="0"/>
        <cfvo type="percent" val="33"/>
        <cfvo type="percent" val="67"/>
      </iconSet>
    </cfRule>
    <cfRule type="iconSet" priority="74">
      <iconSet iconSet="3Flags">
        <cfvo type="percent" val="0"/>
        <cfvo type="percent" val="33"/>
        <cfvo type="percent" val="67"/>
      </iconSet>
    </cfRule>
  </conditionalFormatting>
  <conditionalFormatting sqref="D26:AH26">
    <cfRule type="cellIs" dxfId="154" priority="65" operator="greaterThan">
      <formula>24</formula>
    </cfRule>
    <cfRule type="cellIs" dxfId="153" priority="66" operator="greaterThan">
      <formula>14</formula>
    </cfRule>
  </conditionalFormatting>
  <conditionalFormatting sqref="J4:J7">
    <cfRule type="expression" dxfId="152" priority="96">
      <formula>J$2</formula>
    </cfRule>
  </conditionalFormatting>
  <conditionalFormatting sqref="J18:J22">
    <cfRule type="expression" dxfId="151" priority="87">
      <formula>J$2</formula>
    </cfRule>
  </conditionalFormatting>
  <conditionalFormatting sqref="J24">
    <cfRule type="expression" dxfId="150" priority="37">
      <formula>J$2</formula>
    </cfRule>
  </conditionalFormatting>
  <conditionalFormatting sqref="AI35">
    <cfRule type="expression" dxfId="149" priority="1">
      <formula>AJ$2</formula>
    </cfRule>
  </conditionalFormatting>
  <conditionalFormatting sqref="AI31:AJ31">
    <cfRule type="expression" dxfId="148" priority="40">
      <formula>AJ$2</formula>
    </cfRule>
  </conditionalFormatting>
  <conditionalFormatting sqref="AK30">
    <cfRule type="expression" dxfId="147" priority="69">
      <formula>AL$2</formula>
    </cfRule>
  </conditionalFormatting>
  <dataValidations count="1">
    <dataValidation type="decimal" allowBlank="1" showInputMessage="1" showErrorMessage="1" errorTitle="ERROR !" error="You may report min 0,5 and max 24 hrs per WP or Project" sqref="D4:AH23" xr:uid="{00000000-0002-0000-0A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56B9BF1B-2357-4F89-BC3E-EC21F16C3493}">
            <xm:f>NOT(ISERROR(SEARCH("HEU",B4)))</xm:f>
            <xm:f>"HEU"</xm:f>
            <x14:dxf>
              <fill>
                <patternFill>
                  <bgColor theme="8" tint="0.79998168889431442"/>
                </patternFill>
              </fill>
            </x14:dxf>
          </x14:cfRule>
          <x14:cfRule type="containsText" priority="6" operator="containsText" id="{FC1766EA-6759-4D65-B558-BF6A7D7CF95F}">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2" id="{4AAE212B-3F68-4260-BBAF-CF559DFCEDF0}">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38" id="{2E45E00D-673B-47F9-A959-9D8589ED84DB}">
            <x14:iconSet iconSet="3Flags" showValue="0" custom="1">
              <x14:cfvo type="percent">
                <xm:f>0</xm:f>
              </x14:cfvo>
              <x14:cfvo type="num">
                <xm:f>0</xm:f>
              </x14:cfvo>
              <x14:cfvo type="num" gte="0">
                <xm:f>0</xm:f>
              </x14:cfvo>
              <x14:cfIcon iconSet="NoIcons" iconId="0"/>
              <x14:cfIcon iconSet="NoIcons" iconId="0"/>
              <x14:cfIcon iconSet="3Flags" iconId="0"/>
            </x14:iconSet>
          </x14:cfRule>
          <xm:sqref>AI33</xm:sqref>
        </x14:conditionalFormatting>
        <x14:conditionalFormatting xmlns:xm="http://schemas.microsoft.com/office/excel/2006/main">
          <x14:cfRule type="iconSet" priority="68" id="{0FF58C70-93AE-4422-9A32-E79E1267C498}">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7" id="{7F62E217-3853-4C30-A6E9-AADC8FBCC16B}">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9">
    <tabColor theme="5" tint="-0.249977111117893"/>
    <pageSetUpPr fitToPage="1"/>
  </sheetPr>
  <dimension ref="B1:AL165"/>
  <sheetViews>
    <sheetView showGridLines="0" showZeros="0" zoomScale="60" zoomScaleNormal="60" zoomScaleSheetLayoutView="55" zoomScalePageLayoutView="110" workbookViewId="0">
      <selection activeCell="D4" sqref="D4"/>
    </sheetView>
  </sheetViews>
  <sheetFormatPr defaultColWidth="9.1796875" defaultRowHeight="15" customHeight="1" zeroHeight="1" x14ac:dyDescent="0.35"/>
  <cols>
    <col min="1" max="1" width="1.54296875" customWidth="1"/>
    <col min="2" max="2" width="40" customWidth="1"/>
    <col min="3" max="3" width="22.81640625" customWidth="1"/>
    <col min="4" max="34" width="5.1796875" customWidth="1"/>
    <col min="35" max="36" width="9" customWidth="1"/>
    <col min="37" max="37" width="11.1796875" customWidth="1"/>
    <col min="38" max="38" width="29.1796875" customWidth="1"/>
    <col min="39" max="39" width="5.1796875" customWidth="1"/>
    <col min="40" max="40" width="9.1796875" customWidth="1"/>
  </cols>
  <sheetData>
    <row r="1" spans="2:38" ht="21" x14ac:dyDescent="0.35">
      <c r="B1" s="75" t="s">
        <v>64</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1</v>
      </c>
      <c r="G2" s="41" t="b">
        <f t="shared" ca="1" si="0"/>
        <v>0</v>
      </c>
      <c r="H2" s="41" t="b">
        <f t="shared" ca="1" si="0"/>
        <v>0</v>
      </c>
      <c r="I2" s="41" t="b">
        <f t="shared" ca="1" si="0"/>
        <v>0</v>
      </c>
      <c r="J2" s="41" t="b">
        <f t="shared" ca="1" si="0"/>
        <v>0</v>
      </c>
      <c r="K2" s="41" t="b">
        <f t="shared" ca="1" si="0"/>
        <v>0</v>
      </c>
      <c r="L2" s="41" t="b">
        <f t="shared" ca="1" si="0"/>
        <v>1</v>
      </c>
      <c r="M2" s="41" t="b">
        <f t="shared" ca="1" si="0"/>
        <v>1</v>
      </c>
      <c r="N2" s="41" t="b">
        <f t="shared" ca="1" si="0"/>
        <v>0</v>
      </c>
      <c r="O2" s="41" t="b">
        <f t="shared" ca="1" si="0"/>
        <v>0</v>
      </c>
      <c r="P2" s="41" t="b">
        <f t="shared" ca="1" si="0"/>
        <v>0</v>
      </c>
      <c r="Q2" s="41" t="b">
        <f t="shared" ca="1" si="0"/>
        <v>0</v>
      </c>
      <c r="R2" s="90" t="b">
        <f t="shared" ca="1" si="0"/>
        <v>0</v>
      </c>
      <c r="S2" s="41" t="b">
        <f t="shared" ca="1" si="0"/>
        <v>1</v>
      </c>
      <c r="T2" s="41" t="b">
        <f t="shared" ca="1" si="0"/>
        <v>1</v>
      </c>
      <c r="U2" s="41" t="b">
        <f t="shared" ca="1" si="0"/>
        <v>0</v>
      </c>
      <c r="V2" s="41" t="b">
        <f t="shared" ca="1" si="0"/>
        <v>0</v>
      </c>
      <c r="W2" s="41" t="b">
        <f t="shared" ca="1" si="0"/>
        <v>0</v>
      </c>
      <c r="X2" s="41" t="b">
        <f t="shared" ca="1" si="0"/>
        <v>0</v>
      </c>
      <c r="Y2" s="41" t="b">
        <f t="shared" ca="1" si="0"/>
        <v>0</v>
      </c>
      <c r="Z2" s="41" t="b">
        <f t="shared" ca="1" si="0"/>
        <v>1</v>
      </c>
      <c r="AA2" s="41" t="b">
        <f t="shared" ca="1" si="0"/>
        <v>1</v>
      </c>
      <c r="AB2" s="41" t="b">
        <f t="shared" ca="1" si="0"/>
        <v>0</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1</v>
      </c>
      <c r="AH2" s="41" t="b">
        <f t="shared" ca="1" si="0"/>
        <v>1</v>
      </c>
      <c r="AI2" s="91"/>
      <c r="AJ2" s="91"/>
      <c r="AK2" s="91"/>
    </row>
    <row r="3" spans="2:38" ht="52" x14ac:dyDescent="0.35">
      <c r="B3" s="66" t="s">
        <v>37</v>
      </c>
      <c r="C3" s="67"/>
      <c r="D3" s="68">
        <f>DATEVALUE(AloxÅr&amp;"-"&amp;VLOOKUP(LEFT(B1,3),Holidays!$M$4:$N$15,2,0)&amp;"-1")</f>
        <v>45870</v>
      </c>
      <c r="E3" s="68">
        <f>DATE(YEAR(D3),MONTH(D3),DAY(D3)+1)</f>
        <v>45871</v>
      </c>
      <c r="F3" s="68">
        <f t="shared" ref="F3:AH3" si="1">DATE(YEAR(E3),MONTH(E3),DAY(E3)+1)</f>
        <v>45872</v>
      </c>
      <c r="G3" s="68">
        <f t="shared" si="1"/>
        <v>45873</v>
      </c>
      <c r="H3" s="68">
        <f t="shared" si="1"/>
        <v>45874</v>
      </c>
      <c r="I3" s="68">
        <f t="shared" si="1"/>
        <v>45875</v>
      </c>
      <c r="J3" s="68">
        <f t="shared" si="1"/>
        <v>45876</v>
      </c>
      <c r="K3" s="68">
        <f t="shared" si="1"/>
        <v>45877</v>
      </c>
      <c r="L3" s="68">
        <f t="shared" si="1"/>
        <v>45878</v>
      </c>
      <c r="M3" s="68">
        <f t="shared" si="1"/>
        <v>45879</v>
      </c>
      <c r="N3" s="68">
        <f t="shared" si="1"/>
        <v>45880</v>
      </c>
      <c r="O3" s="68">
        <f t="shared" si="1"/>
        <v>45881</v>
      </c>
      <c r="P3" s="68">
        <f t="shared" si="1"/>
        <v>45882</v>
      </c>
      <c r="Q3" s="68">
        <f t="shared" si="1"/>
        <v>45883</v>
      </c>
      <c r="R3" s="68">
        <f t="shared" si="1"/>
        <v>45884</v>
      </c>
      <c r="S3" s="68">
        <f t="shared" si="1"/>
        <v>45885</v>
      </c>
      <c r="T3" s="68">
        <f t="shared" si="1"/>
        <v>45886</v>
      </c>
      <c r="U3" s="68">
        <f t="shared" si="1"/>
        <v>45887</v>
      </c>
      <c r="V3" s="68">
        <f t="shared" si="1"/>
        <v>45888</v>
      </c>
      <c r="W3" s="68">
        <f t="shared" si="1"/>
        <v>45889</v>
      </c>
      <c r="X3" s="68">
        <f t="shared" si="1"/>
        <v>45890</v>
      </c>
      <c r="Y3" s="68">
        <f t="shared" si="1"/>
        <v>45891</v>
      </c>
      <c r="Z3" s="68">
        <f t="shared" si="1"/>
        <v>45892</v>
      </c>
      <c r="AA3" s="68">
        <f t="shared" si="1"/>
        <v>45893</v>
      </c>
      <c r="AB3" s="68">
        <f t="shared" si="1"/>
        <v>45894</v>
      </c>
      <c r="AC3" s="68">
        <f t="shared" si="1"/>
        <v>45895</v>
      </c>
      <c r="AD3" s="68">
        <f t="shared" si="1"/>
        <v>45896</v>
      </c>
      <c r="AE3" s="68">
        <f t="shared" si="1"/>
        <v>45897</v>
      </c>
      <c r="AF3" s="68">
        <f t="shared" si="1"/>
        <v>45898</v>
      </c>
      <c r="AG3" s="68">
        <f t="shared" si="1"/>
        <v>45899</v>
      </c>
      <c r="AH3" s="68">
        <f t="shared" si="1"/>
        <v>45900</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160">
        <f>SUM(D4:AH4)</f>
        <v>0</v>
      </c>
      <c r="AJ4" s="160">
        <f>AugTot.01/8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160">
        <f t="shared" ref="AI5:AI23" si="2">SUM(D5:AH5)</f>
        <v>0</v>
      </c>
      <c r="AJ5" s="160">
        <f>AugTot.02/8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160">
        <f t="shared" si="2"/>
        <v>0</v>
      </c>
      <c r="AJ6" s="160">
        <f>AugTot.03/8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160">
        <f t="shared" si="2"/>
        <v>0</v>
      </c>
      <c r="AJ7" s="160">
        <f>AugTot.04/8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160">
        <f t="shared" si="2"/>
        <v>0</v>
      </c>
      <c r="AJ8" s="160">
        <f>AugTot.05/8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160">
        <f t="shared" si="2"/>
        <v>0</v>
      </c>
      <c r="AJ9" s="160">
        <f>AugTot.06/8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160">
        <f t="shared" si="2"/>
        <v>0</v>
      </c>
      <c r="AJ10" s="160">
        <f>AugTot.07/8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160">
        <f t="shared" si="2"/>
        <v>0</v>
      </c>
      <c r="AJ11" s="160">
        <f>AugTot.08/8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160">
        <f t="shared" si="2"/>
        <v>0</v>
      </c>
      <c r="AJ12" s="160">
        <f>AugTot.09/8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160">
        <f t="shared" si="2"/>
        <v>0</v>
      </c>
      <c r="AJ13" s="160">
        <f>AugTot.10/8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160">
        <f t="shared" si="2"/>
        <v>0</v>
      </c>
      <c r="AJ14" s="160">
        <f>AugTot.11/8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160">
        <f t="shared" si="2"/>
        <v>0</v>
      </c>
      <c r="AJ15" s="160">
        <f>AugTot.12/8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160">
        <f t="shared" si="2"/>
        <v>0</v>
      </c>
      <c r="AJ16" s="160">
        <f>AugTot.13/8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160">
        <f t="shared" si="2"/>
        <v>0</v>
      </c>
      <c r="AJ17" s="160">
        <f>AugTot.14/8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160">
        <f t="shared" si="2"/>
        <v>0</v>
      </c>
      <c r="AJ18" s="160">
        <f>AugTot.15/8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160">
        <f t="shared" si="2"/>
        <v>0</v>
      </c>
      <c r="AJ19" s="160">
        <f>AugTot.16/8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160">
        <f t="shared" si="2"/>
        <v>0</v>
      </c>
      <c r="AJ20" s="160">
        <f>AugTot.17/8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160">
        <f t="shared" si="2"/>
        <v>0</v>
      </c>
      <c r="AJ21" s="160">
        <f>AugTot.18/8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160">
        <f t="shared" si="2"/>
        <v>0</v>
      </c>
      <c r="AJ22" s="160">
        <f>AugTot.19/8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160">
        <f t="shared" si="2"/>
        <v>0</v>
      </c>
      <c r="AJ23" s="160">
        <f>AugTot.20/8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61">
        <f t="shared" ref="AI24" si="4">SUM(D24:AH24)</f>
        <v>0</v>
      </c>
      <c r="AJ24" s="161">
        <f>AI24/8</f>
        <v>0</v>
      </c>
      <c r="AK24" s="157" t="str">
        <f>IFERROR(AI24/$AI$28,"")</f>
        <v/>
      </c>
      <c r="AL24" s="133"/>
    </row>
    <row r="25" spans="2:38" ht="17.149999999999999" customHeight="1" x14ac:dyDescent="0.35">
      <c r="B25" s="65" t="s">
        <v>45</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166"/>
      <c r="AJ25" s="72"/>
      <c r="AK25" s="64"/>
    </row>
    <row r="26" spans="2:38" ht="17.149999999999999" customHeight="1" x14ac:dyDescent="0.35">
      <c r="B26" s="302" t="s">
        <v>46</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160">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167"/>
      <c r="AJ27" s="64"/>
    </row>
    <row r="28" spans="2:38" ht="17.149999999999999" customHeight="1" x14ac:dyDescent="0.35">
      <c r="B28" s="302" t="s">
        <v>47</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160">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169"/>
      <c r="AJ29" s="11"/>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49"/>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52"/>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ElHk0g0WZdZZWZfheh0S/JDGxIocU/e6bAkD7dzO7/HRK5ZRVKtpvc5Tmr9OmEUfS0RT2jFx2kTuQRRhHbt2WQ==" saltValue="GCbesg9NnrDXrb5QqzWVJQ=="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146" priority="2" operator="containsText" text="Erasmus+">
      <formula>NOT(ISERROR(SEARCH("Erasmus+",B4)))</formula>
    </cfRule>
    <cfRule type="containsText" dxfId="144" priority="4" operator="containsText" text="Other US">
      <formula>NOT(ISERROR(SEARCH("Other US",B4)))</formula>
    </cfRule>
    <cfRule type="containsText" dxfId="143" priority="5" operator="containsText" text="US Army">
      <formula>NOT(ISERROR(SEARCH("US Army",B4)))</formula>
    </cfRule>
    <cfRule type="containsText" dxfId="141" priority="7" operator="containsText" text="NIH">
      <formula>NOT(ISERROR(SEARCH("NIH",B4)))</formula>
    </cfRule>
    <cfRule type="containsText" dxfId="140" priority="8" operator="containsText" text="FP7">
      <formula>NOT(ISERROR(SEARCH("FP7",B4)))</formula>
    </cfRule>
    <cfRule type="containsText" dxfId="139" priority="9" operator="containsText" text="H2020">
      <formula>NOT(ISERROR(SEARCH("H2020",B4)))</formula>
    </cfRule>
    <cfRule type="containsText" dxfId="138" priority="10" operator="containsText" text="Sida">
      <formula>NOT(ISERROR(SEARCH("Sida",B4)))</formula>
    </cfRule>
    <cfRule type="containsText" dxfId="137" priority="11" operator="containsText" text="Other">
      <formula>NOT(ISERROR(SEARCH("Other",B4)))</formula>
    </cfRule>
  </conditionalFormatting>
  <conditionalFormatting sqref="D3:AH3">
    <cfRule type="expression" dxfId="136" priority="88">
      <formula>OR(WEEKDAY(D3,2)=6,WEEKDAY(D3,2)=7)</formula>
    </cfRule>
    <cfRule type="expression" dxfId="135" priority="89">
      <formula>INDEX(INDIRECT("Shortened[WorkHours]"),MATCH(D3,INDIRECT("Shortened[DateInYear]"),0),0)&gt;7</formula>
    </cfRule>
    <cfRule type="expression" dxfId="134" priority="90">
      <formula>INDEX(INDIRECT("Clamp[WorkHours]"),MATCH(D3,INDIRECT("Clamp[DateInYear]"),0),0)&gt;7</formula>
    </cfRule>
    <cfRule type="expression" dxfId="133" priority="91">
      <formula>AND(INDEX(INDIRECT("Clamp[WorkHours]"),MATCH(C3,INDIRECT("Clamp[DateInYear]"),0),0)&gt;0,INDEX(INDIRECT("Clamp[WorkHours]"),MATCH(C3,INDIRECT("Clamp[DateInYear]"),0),0)&lt;8)</formula>
    </cfRule>
    <cfRule type="expression" dxfId="132" priority="92">
      <formula>AND(INDEX(INDIRECT("Shortened[WorkHours]"),MATCH(D3,INDIRECT("Shortened[DateInYear]"),0),0)&gt;0,INDEX(INDIRECT("Shortened[WorkHours]"),MATCH(D3,INDIRECT("Shortened[DateInYear]"),0),0)&lt;8)</formula>
    </cfRule>
    <cfRule type="expression" dxfId="131" priority="93">
      <formula>MATCH(D3,INDIRECT("Fixed_dates[DateInYear]"),0)&gt;0</formula>
    </cfRule>
    <cfRule type="expression" dxfId="130" priority="94">
      <formula>MATCH(D3,INDIRECT("Fixed_weekdays[DateInYear]"),0)&gt;0</formula>
    </cfRule>
  </conditionalFormatting>
  <conditionalFormatting sqref="D4:AH24">
    <cfRule type="expression" dxfId="129" priority="36">
      <formula>D$2</formula>
    </cfRule>
  </conditionalFormatting>
  <conditionalFormatting sqref="D25:AH25">
    <cfRule type="iconSet" priority="73">
      <iconSet iconSet="3Flags">
        <cfvo type="percent" val="0"/>
        <cfvo type="percent" val="33"/>
        <cfvo type="percent" val="67"/>
      </iconSet>
    </cfRule>
    <cfRule type="iconSet" priority="74">
      <iconSet iconSet="3Flags">
        <cfvo type="percent" val="0"/>
        <cfvo type="percent" val="33"/>
        <cfvo type="percent" val="67"/>
      </iconSet>
    </cfRule>
  </conditionalFormatting>
  <conditionalFormatting sqref="D26:AH26">
    <cfRule type="cellIs" dxfId="128" priority="65" operator="greaterThan">
      <formula>24</formula>
    </cfRule>
    <cfRule type="cellIs" dxfId="127" priority="66" operator="greaterThan">
      <formula>14</formula>
    </cfRule>
  </conditionalFormatting>
  <conditionalFormatting sqref="J4:J7">
    <cfRule type="expression" dxfId="126" priority="96">
      <formula>J$2</formula>
    </cfRule>
  </conditionalFormatting>
  <conditionalFormatting sqref="J18:J22">
    <cfRule type="expression" dxfId="125" priority="87">
      <formula>J$2</formula>
    </cfRule>
  </conditionalFormatting>
  <conditionalFormatting sqref="J24">
    <cfRule type="expression" dxfId="124" priority="37">
      <formula>J$2</formula>
    </cfRule>
  </conditionalFormatting>
  <conditionalFormatting sqref="AI35">
    <cfRule type="expression" dxfId="123" priority="1">
      <formula>AJ$2</formula>
    </cfRule>
  </conditionalFormatting>
  <conditionalFormatting sqref="AI31:AJ31">
    <cfRule type="expression" dxfId="122" priority="40">
      <formula>AJ$2</formula>
    </cfRule>
  </conditionalFormatting>
  <conditionalFormatting sqref="AK30">
    <cfRule type="expression" dxfId="121" priority="69">
      <formula>AL$2</formula>
    </cfRule>
  </conditionalFormatting>
  <dataValidations count="1">
    <dataValidation type="decimal" allowBlank="1" showInputMessage="1" showErrorMessage="1" errorTitle="ERROR !" error="You may report min 0,5 and max 24 hrs per WP or Project" sqref="D4:AH23" xr:uid="{00000000-0002-0000-0B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13F932B5-426A-4DED-8CCE-8F3E0A443FD4}">
            <xm:f>NOT(ISERROR(SEARCH("HEU",B4)))</xm:f>
            <xm:f>"HEU"</xm:f>
            <x14:dxf>
              <fill>
                <patternFill>
                  <bgColor theme="8" tint="0.79998168889431442"/>
                </patternFill>
              </fill>
            </x14:dxf>
          </x14:cfRule>
          <x14:cfRule type="containsText" priority="6" operator="containsText" id="{9B009F60-733A-4BEC-8191-214D991ED5C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2" id="{0E116E5A-6CA7-470B-B7D8-18E4E6A73C70}">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38" id="{6BE9D766-0844-4B21-94B9-46DF1F0ACBDB}">
            <x14:iconSet iconSet="3Flags" showValue="0" custom="1">
              <x14:cfvo type="percent">
                <xm:f>0</xm:f>
              </x14:cfvo>
              <x14:cfvo type="num">
                <xm:f>0</xm:f>
              </x14:cfvo>
              <x14:cfvo type="num" gte="0">
                <xm:f>0</xm:f>
              </x14:cfvo>
              <x14:cfIcon iconSet="NoIcons" iconId="0"/>
              <x14:cfIcon iconSet="NoIcons" iconId="0"/>
              <x14:cfIcon iconSet="3Flags" iconId="0"/>
            </x14:iconSet>
          </x14:cfRule>
          <xm:sqref>AI33</xm:sqref>
        </x14:conditionalFormatting>
        <x14:conditionalFormatting xmlns:xm="http://schemas.microsoft.com/office/excel/2006/main">
          <x14:cfRule type="iconSet" priority="68" id="{253DAE15-6079-4B2F-AD11-F3CDF2F5A511}">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7" id="{0F5BD006-43B8-4E02-8BC7-9D01491AB128}">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0">
    <tabColor theme="5" tint="-0.249977111117893"/>
    <pageSetUpPr fitToPage="1"/>
  </sheetPr>
  <dimension ref="B1:AL165"/>
  <sheetViews>
    <sheetView showGridLines="0" showZeros="0" zoomScale="60" zoomScaleNormal="60" zoomScaleSheetLayoutView="55" zoomScalePageLayoutView="110" workbookViewId="0">
      <selection activeCell="D4" sqref="D4"/>
    </sheetView>
  </sheetViews>
  <sheetFormatPr defaultColWidth="9.1796875" defaultRowHeight="15" customHeight="1" zeroHeight="1" x14ac:dyDescent="0.35"/>
  <cols>
    <col min="1" max="1" width="1.54296875" customWidth="1"/>
    <col min="2" max="2" width="40" customWidth="1"/>
    <col min="3" max="3" width="22.81640625" customWidth="1"/>
    <col min="4" max="33" width="5.1796875" customWidth="1"/>
    <col min="34" max="34" width="5.1796875" hidden="1" customWidth="1"/>
    <col min="35" max="36" width="8.1796875" customWidth="1"/>
    <col min="37" max="37" width="11.1796875" customWidth="1"/>
    <col min="38" max="38" width="33.81640625" customWidth="1"/>
    <col min="39" max="39" width="5.81640625" customWidth="1"/>
    <col min="40" max="40" width="9.1796875" customWidth="1"/>
  </cols>
  <sheetData>
    <row r="1" spans="2:38" ht="21" x14ac:dyDescent="0.35">
      <c r="B1" s="75" t="s">
        <v>68</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1</v>
      </c>
      <c r="J2" s="41" t="b">
        <f t="shared" ca="1" si="0"/>
        <v>1</v>
      </c>
      <c r="K2" s="41" t="b">
        <f t="shared" ca="1" si="0"/>
        <v>0</v>
      </c>
      <c r="L2" s="41" t="b">
        <f t="shared" ca="1" si="0"/>
        <v>0</v>
      </c>
      <c r="M2" s="41" t="b">
        <f t="shared" ca="1" si="0"/>
        <v>0</v>
      </c>
      <c r="N2" s="41" t="b">
        <f t="shared" ca="1" si="0"/>
        <v>0</v>
      </c>
      <c r="O2" s="41" t="b">
        <f t="shared" ca="1" si="0"/>
        <v>0</v>
      </c>
      <c r="P2" s="41" t="b">
        <f t="shared" ca="1" si="0"/>
        <v>1</v>
      </c>
      <c r="Q2" s="41" t="b">
        <f t="shared" ca="1" si="0"/>
        <v>1</v>
      </c>
      <c r="R2" s="90" t="b">
        <f t="shared" ca="1" si="0"/>
        <v>0</v>
      </c>
      <c r="S2" s="41" t="b">
        <f t="shared" ca="1" si="0"/>
        <v>0</v>
      </c>
      <c r="T2" s="41" t="b">
        <f t="shared" ca="1" si="0"/>
        <v>0</v>
      </c>
      <c r="U2" s="41" t="b">
        <f t="shared" ca="1" si="0"/>
        <v>0</v>
      </c>
      <c r="V2" s="41" t="b">
        <f t="shared" ca="1" si="0"/>
        <v>0</v>
      </c>
      <c r="W2" s="41" t="b">
        <f t="shared" ca="1" si="0"/>
        <v>1</v>
      </c>
      <c r="X2" s="41" t="b">
        <f t="shared" ca="1" si="0"/>
        <v>1</v>
      </c>
      <c r="Y2" s="41" t="b">
        <f t="shared" ca="1" si="0"/>
        <v>0</v>
      </c>
      <c r="Z2" s="41" t="b">
        <f t="shared" ca="1" si="0"/>
        <v>0</v>
      </c>
      <c r="AA2" s="41" t="b">
        <f t="shared" ca="1" si="0"/>
        <v>0</v>
      </c>
      <c r="AB2" s="41" t="b">
        <f t="shared" ca="1" si="0"/>
        <v>0</v>
      </c>
      <c r="AC2" s="41" t="b">
        <f t="shared" ca="1" si="0"/>
        <v>0</v>
      </c>
      <c r="AD2" s="41" t="b">
        <f t="shared" ca="1" si="0"/>
        <v>1</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79"/>
      <c r="AJ2" s="79"/>
      <c r="AK2" s="91"/>
    </row>
    <row r="3" spans="2:38" ht="52" x14ac:dyDescent="0.35">
      <c r="B3" s="66" t="s">
        <v>37</v>
      </c>
      <c r="C3" s="67"/>
      <c r="D3" s="68">
        <f>DATEVALUE(AloxÅr&amp;"-"&amp;VLOOKUP(LEFT(B1,3),Holidays!$M$4:$N$15,2,0)&amp;"-1")</f>
        <v>45901</v>
      </c>
      <c r="E3" s="68">
        <f>DATE(YEAR(D3),MONTH(D3),DAY(D3)+1)</f>
        <v>45902</v>
      </c>
      <c r="F3" s="68">
        <f t="shared" ref="F3:AH3" si="1">DATE(YEAR(E3),MONTH(E3),DAY(E3)+1)</f>
        <v>45903</v>
      </c>
      <c r="G3" s="68">
        <f t="shared" si="1"/>
        <v>45904</v>
      </c>
      <c r="H3" s="68">
        <f t="shared" si="1"/>
        <v>45905</v>
      </c>
      <c r="I3" s="68">
        <f t="shared" si="1"/>
        <v>45906</v>
      </c>
      <c r="J3" s="68">
        <f t="shared" si="1"/>
        <v>45907</v>
      </c>
      <c r="K3" s="68">
        <f t="shared" si="1"/>
        <v>45908</v>
      </c>
      <c r="L3" s="68">
        <f t="shared" si="1"/>
        <v>45909</v>
      </c>
      <c r="M3" s="68">
        <f t="shared" si="1"/>
        <v>45910</v>
      </c>
      <c r="N3" s="68">
        <f t="shared" si="1"/>
        <v>45911</v>
      </c>
      <c r="O3" s="68">
        <f t="shared" si="1"/>
        <v>45912</v>
      </c>
      <c r="P3" s="68">
        <f t="shared" si="1"/>
        <v>45913</v>
      </c>
      <c r="Q3" s="68">
        <f t="shared" si="1"/>
        <v>45914</v>
      </c>
      <c r="R3" s="68">
        <f t="shared" si="1"/>
        <v>45915</v>
      </c>
      <c r="S3" s="68">
        <f t="shared" si="1"/>
        <v>45916</v>
      </c>
      <c r="T3" s="68">
        <f t="shared" si="1"/>
        <v>45917</v>
      </c>
      <c r="U3" s="68">
        <f t="shared" si="1"/>
        <v>45918</v>
      </c>
      <c r="V3" s="68">
        <f t="shared" si="1"/>
        <v>45919</v>
      </c>
      <c r="W3" s="68">
        <f t="shared" si="1"/>
        <v>45920</v>
      </c>
      <c r="X3" s="68">
        <f t="shared" si="1"/>
        <v>45921</v>
      </c>
      <c r="Y3" s="68">
        <f t="shared" si="1"/>
        <v>45922</v>
      </c>
      <c r="Z3" s="68">
        <f t="shared" si="1"/>
        <v>45923</v>
      </c>
      <c r="AA3" s="68">
        <f t="shared" si="1"/>
        <v>45924</v>
      </c>
      <c r="AB3" s="68">
        <f t="shared" si="1"/>
        <v>45925</v>
      </c>
      <c r="AC3" s="68">
        <f t="shared" si="1"/>
        <v>45926</v>
      </c>
      <c r="AD3" s="68">
        <f t="shared" si="1"/>
        <v>45927</v>
      </c>
      <c r="AE3" s="68">
        <f t="shared" si="1"/>
        <v>45928</v>
      </c>
      <c r="AF3" s="68">
        <f t="shared" si="1"/>
        <v>45929</v>
      </c>
      <c r="AG3" s="68">
        <f t="shared" si="1"/>
        <v>45930</v>
      </c>
      <c r="AH3" s="68">
        <f t="shared" si="1"/>
        <v>45931</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136"/>
      <c r="AI4" s="70">
        <f>SUM(D4:AG4)</f>
        <v>0</v>
      </c>
      <c r="AJ4" s="160">
        <f>SepTot.01/8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136"/>
      <c r="AI5" s="70">
        <f t="shared" ref="AI5:AI23" si="2">SUM(D5:AG5)</f>
        <v>0</v>
      </c>
      <c r="AJ5" s="160">
        <f>SepTot.02/8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136"/>
      <c r="AI6" s="70">
        <f t="shared" si="2"/>
        <v>0</v>
      </c>
      <c r="AJ6" s="160">
        <f>SepTot.03/8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136"/>
      <c r="AI7" s="70">
        <f t="shared" si="2"/>
        <v>0</v>
      </c>
      <c r="AJ7" s="160">
        <f>SepTot.04/8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136"/>
      <c r="AI8" s="70">
        <f t="shared" si="2"/>
        <v>0</v>
      </c>
      <c r="AJ8" s="160">
        <f>SepTot.05/8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136"/>
      <c r="AI9" s="70">
        <f t="shared" si="2"/>
        <v>0</v>
      </c>
      <c r="AJ9" s="160">
        <f>SepTot.06/8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136"/>
      <c r="AI10" s="70">
        <f t="shared" si="2"/>
        <v>0</v>
      </c>
      <c r="AJ10" s="160">
        <f>SepTot.07/8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136"/>
      <c r="AI11" s="70">
        <f t="shared" si="2"/>
        <v>0</v>
      </c>
      <c r="AJ11" s="160">
        <f>SepTot.08/8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136"/>
      <c r="AI12" s="70">
        <f t="shared" si="2"/>
        <v>0</v>
      </c>
      <c r="AJ12" s="160">
        <f>SepTot.09/8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136"/>
      <c r="AI13" s="70">
        <f t="shared" si="2"/>
        <v>0</v>
      </c>
      <c r="AJ13" s="160">
        <f>SepTot.10/8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136"/>
      <c r="AI14" s="70">
        <f t="shared" si="2"/>
        <v>0</v>
      </c>
      <c r="AJ14" s="160">
        <f>SepTot.11/8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136"/>
      <c r="AI15" s="70">
        <f t="shared" si="2"/>
        <v>0</v>
      </c>
      <c r="AJ15" s="160">
        <f>SepTot.12/8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135"/>
      <c r="AI16" s="70">
        <f t="shared" si="2"/>
        <v>0</v>
      </c>
      <c r="AJ16" s="160">
        <f>SepTot.13/8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135"/>
      <c r="AI17" s="70">
        <f t="shared" si="2"/>
        <v>0</v>
      </c>
      <c r="AJ17" s="160">
        <f>SepTot.14/8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136"/>
      <c r="AI18" s="70">
        <f t="shared" si="2"/>
        <v>0</v>
      </c>
      <c r="AJ18" s="160">
        <f>SepTot.15/8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136"/>
      <c r="AI19" s="70">
        <f t="shared" si="2"/>
        <v>0</v>
      </c>
      <c r="AJ19" s="160">
        <f>SepTot.16/8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136"/>
      <c r="AI20" s="70">
        <f t="shared" si="2"/>
        <v>0</v>
      </c>
      <c r="AJ20" s="160">
        <f>SepTot.17/8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136"/>
      <c r="AI21" s="70">
        <f t="shared" si="2"/>
        <v>0</v>
      </c>
      <c r="AJ21" s="160">
        <f>SepTot.18/8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136"/>
      <c r="AI22" s="70">
        <f t="shared" si="2"/>
        <v>0</v>
      </c>
      <c r="AJ22" s="160">
        <f>SepTot.19/8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136"/>
      <c r="AI23" s="70">
        <f t="shared" si="2"/>
        <v>0</v>
      </c>
      <c r="AJ23" s="160">
        <f>SepTot.20/8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SUM(D24:AG24)</f>
        <v>0</v>
      </c>
      <c r="AJ24" s="161">
        <f>AI24/8</f>
        <v>0</v>
      </c>
      <c r="AK24" s="157" t="str">
        <f>IFERROR(AI24/$AI$28,"")</f>
        <v/>
      </c>
      <c r="AL24" s="133"/>
    </row>
    <row r="25" spans="2:38" ht="17.149999999999999" customHeight="1" x14ac:dyDescent="0.35">
      <c r="B25" s="65" t="s">
        <v>45</v>
      </c>
      <c r="C25" s="64"/>
      <c r="D25" s="71">
        <f>D26</f>
        <v>0</v>
      </c>
      <c r="E25" s="71">
        <f t="shared" ref="E25:AG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c r="AI25" s="72"/>
      <c r="AJ25" s="72"/>
      <c r="AK25" s="64"/>
    </row>
    <row r="26" spans="2:38" ht="17.149999999999999" customHeight="1" x14ac:dyDescent="0.35">
      <c r="B26" s="302" t="s">
        <v>46</v>
      </c>
      <c r="C26" s="303"/>
      <c r="D26" s="73">
        <f t="shared" ref="D26:AG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c r="AI26" s="74">
        <f>SUM(D26:AG26)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47</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c r="AI28" s="74">
        <f>SUM(D28:AG28)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pveOjPagtYRMt6T6KGT9KpQIEc5hPdVLyGnbGzRrfnzgvaOfN3T0xmOkegNuZ/yPUjeqM3tPGBEWX9CnSspV3Q==" saltValue="3KSzPOhrcVMbXSZRcsOdBQ=="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120" priority="2" operator="containsText" text="Erasmus+">
      <formula>NOT(ISERROR(SEARCH("Erasmus+",B4)))</formula>
    </cfRule>
    <cfRule type="containsText" dxfId="118" priority="4" operator="containsText" text="Other US">
      <formula>NOT(ISERROR(SEARCH("Other US",B4)))</formula>
    </cfRule>
    <cfRule type="containsText" dxfId="117" priority="5" operator="containsText" text="US Army">
      <formula>NOT(ISERROR(SEARCH("US Army",B4)))</formula>
    </cfRule>
    <cfRule type="containsText" dxfId="115" priority="7" operator="containsText" text="NIH">
      <formula>NOT(ISERROR(SEARCH("NIH",B4)))</formula>
    </cfRule>
    <cfRule type="containsText" dxfId="114" priority="8" operator="containsText" text="FP7">
      <formula>NOT(ISERROR(SEARCH("FP7",B4)))</formula>
    </cfRule>
    <cfRule type="containsText" dxfId="113" priority="9" operator="containsText" text="H2020">
      <formula>NOT(ISERROR(SEARCH("H2020",B4)))</formula>
    </cfRule>
    <cfRule type="containsText" dxfId="112" priority="10" operator="containsText" text="Sida">
      <formula>NOT(ISERROR(SEARCH("Sida",B4)))</formula>
    </cfRule>
    <cfRule type="containsText" dxfId="111" priority="11" operator="containsText" text="Other">
      <formula>NOT(ISERROR(SEARCH("Other",B4)))</formula>
    </cfRule>
  </conditionalFormatting>
  <conditionalFormatting sqref="D25:AG25">
    <cfRule type="iconSet" priority="78">
      <iconSet iconSet="3Flags">
        <cfvo type="percent" val="0"/>
        <cfvo type="percent" val="33"/>
        <cfvo type="percent" val="67"/>
      </iconSet>
    </cfRule>
    <cfRule type="iconSet" priority="79">
      <iconSet iconSet="3Flags">
        <cfvo type="percent" val="0"/>
        <cfvo type="percent" val="33"/>
        <cfvo type="percent" val="67"/>
      </iconSet>
    </cfRule>
  </conditionalFormatting>
  <conditionalFormatting sqref="D3:AH3">
    <cfRule type="expression" dxfId="110" priority="93">
      <formula>OR(WEEKDAY(D3,2)=6,WEEKDAY(D3,2)=7)</formula>
    </cfRule>
    <cfRule type="expression" dxfId="109" priority="94">
      <formula>INDEX(INDIRECT("Shortened[WorkHours]"),MATCH(D3,INDIRECT("Shortened[DateInYear]"),0),0)&gt;7</formula>
    </cfRule>
    <cfRule type="expression" dxfId="108" priority="95">
      <formula>INDEX(INDIRECT("Clamp[WorkHours]"),MATCH(D3,INDIRECT("Clamp[DateInYear]"),0),0)&gt;7</formula>
    </cfRule>
    <cfRule type="expression" dxfId="107" priority="96">
      <formula>AND(INDEX(INDIRECT("Clamp[WorkHours]"),MATCH(C3,INDIRECT("Clamp[DateInYear]"),0),0)&gt;0,INDEX(INDIRECT("Clamp[WorkHours]"),MATCH(C3,INDIRECT("Clamp[DateInYear]"),0),0)&lt;8)</formula>
    </cfRule>
    <cfRule type="expression" dxfId="106" priority="97">
      <formula>AND(INDEX(INDIRECT("Shortened[WorkHours]"),MATCH(D3,INDIRECT("Shortened[DateInYear]"),0),0)&gt;0,INDEX(INDIRECT("Shortened[WorkHours]"),MATCH(D3,INDIRECT("Shortened[DateInYear]"),0),0)&lt;8)</formula>
    </cfRule>
    <cfRule type="expression" dxfId="105" priority="98">
      <formula>MATCH(D3,INDIRECT("Fixed_dates[DateInYear]"),0)&gt;0</formula>
    </cfRule>
    <cfRule type="expression" dxfId="104" priority="99">
      <formula>MATCH(D3,INDIRECT("Fixed_weekdays[DateInYear]"),0)&gt;0</formula>
    </cfRule>
  </conditionalFormatting>
  <conditionalFormatting sqref="D4:AH24">
    <cfRule type="expression" dxfId="103" priority="36">
      <formula>D$2</formula>
    </cfRule>
  </conditionalFormatting>
  <conditionalFormatting sqref="D26:AH26">
    <cfRule type="cellIs" dxfId="102" priority="70" operator="greaterThan">
      <formula>24</formula>
    </cfRule>
    <cfRule type="cellIs" dxfId="101" priority="71" operator="greaterThan">
      <formula>14</formula>
    </cfRule>
  </conditionalFormatting>
  <conditionalFormatting sqref="J4:J7">
    <cfRule type="expression" dxfId="100" priority="101">
      <formula>J$2</formula>
    </cfRule>
  </conditionalFormatting>
  <conditionalFormatting sqref="J18:J22">
    <cfRule type="expression" dxfId="99" priority="92">
      <formula>J$2</formula>
    </cfRule>
  </conditionalFormatting>
  <conditionalFormatting sqref="J24">
    <cfRule type="expression" dxfId="98" priority="37">
      <formula>J$2</formula>
    </cfRule>
  </conditionalFormatting>
  <conditionalFormatting sqref="AI35">
    <cfRule type="expression" dxfId="97" priority="1">
      <formula>AJ$2</formula>
    </cfRule>
  </conditionalFormatting>
  <conditionalFormatting sqref="AK30">
    <cfRule type="expression" dxfId="96" priority="74">
      <formula>AL$2</formula>
    </cfRule>
  </conditionalFormatting>
  <dataValidations count="1">
    <dataValidation type="decimal" allowBlank="1" showInputMessage="1" showErrorMessage="1" errorTitle="ERROR !" error="You may report min 0,5 and max 24 hrs per WP or Project_x000a__x000a_" sqref="D4:AG23" xr:uid="{00000000-0002-0000-0C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CE81AB95-620F-4121-BC54-9B747B6DAB02}">
            <xm:f>NOT(ISERROR(SEARCH("HEU",B4)))</xm:f>
            <xm:f>"HEU"</xm:f>
            <x14:dxf>
              <fill>
                <patternFill>
                  <bgColor theme="8" tint="0.79998168889431442"/>
                </patternFill>
              </fill>
            </x14:dxf>
          </x14:cfRule>
          <x14:cfRule type="containsText" priority="6" operator="containsText" id="{E5EE3FDA-7939-4A88-ACA3-D7006D963A24}">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7" id="{E9B0161E-4035-40CC-A302-6BEEBBF5FE3B}">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D25:AG25</xm:sqref>
        </x14:conditionalFormatting>
        <x14:conditionalFormatting xmlns:xm="http://schemas.microsoft.com/office/excel/2006/main">
          <x14:cfRule type="iconSet" priority="73" id="{CEE906B2-3F10-42DA-9B0B-16B420472EBE}">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72" id="{DCDD44AC-F9FB-4179-B142-BDFDC2E57587}">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81" id="{ED316D5C-D9FD-4EA6-AF15-CB25EC91FC4E}">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80" id="{0D12B6C6-C32E-42BF-A235-3CCAC251310B}">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tabColor theme="5" tint="-0.249977111117893"/>
    <pageSetUpPr fitToPage="1"/>
  </sheetPr>
  <dimension ref="B1:AL165"/>
  <sheetViews>
    <sheetView showGridLines="0" showZeros="0" zoomScale="60" zoomScaleNormal="60" zoomScaleSheetLayoutView="55" zoomScalePageLayoutView="110" workbookViewId="0">
      <selection activeCell="D4" sqref="D4"/>
    </sheetView>
  </sheetViews>
  <sheetFormatPr defaultColWidth="9.1796875" defaultRowHeight="15" customHeight="1" zeroHeight="1" x14ac:dyDescent="0.35"/>
  <cols>
    <col min="1" max="1" width="1.54296875" customWidth="1"/>
    <col min="2" max="2" width="40" customWidth="1"/>
    <col min="3" max="3" width="23" customWidth="1"/>
    <col min="4" max="34" width="5.1796875" customWidth="1"/>
    <col min="35" max="36" width="8.1796875" customWidth="1"/>
    <col min="37" max="37" width="11.1796875" customWidth="1"/>
    <col min="38" max="38" width="29.453125" customWidth="1"/>
    <col min="39" max="39" width="5.453125" customWidth="1"/>
    <col min="40" max="40" width="9.1796875" customWidth="1"/>
  </cols>
  <sheetData>
    <row r="1" spans="2:38" ht="21" x14ac:dyDescent="0.35">
      <c r="B1" s="75" t="s">
        <v>65</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1</v>
      </c>
      <c r="H2" s="41" t="b">
        <f t="shared" ca="1" si="0"/>
        <v>1</v>
      </c>
      <c r="I2" s="41" t="b">
        <f t="shared" ca="1" si="0"/>
        <v>0</v>
      </c>
      <c r="J2" s="41" t="b">
        <f t="shared" ca="1" si="0"/>
        <v>0</v>
      </c>
      <c r="K2" s="41" t="b">
        <f t="shared" ca="1" si="0"/>
        <v>0</v>
      </c>
      <c r="L2" s="41" t="b">
        <f t="shared" ca="1" si="0"/>
        <v>0</v>
      </c>
      <c r="M2" s="41" t="b">
        <f t="shared" ca="1" si="0"/>
        <v>0</v>
      </c>
      <c r="N2" s="41" t="b">
        <f t="shared" ca="1" si="0"/>
        <v>1</v>
      </c>
      <c r="O2" s="41" t="b">
        <f t="shared" ca="1" si="0"/>
        <v>1</v>
      </c>
      <c r="P2" s="41" t="b">
        <f t="shared" ca="1" si="0"/>
        <v>0</v>
      </c>
      <c r="Q2" s="41" t="b">
        <f t="shared" ca="1" si="0"/>
        <v>0</v>
      </c>
      <c r="R2" s="90" t="b">
        <f t="shared" ca="1" si="0"/>
        <v>0</v>
      </c>
      <c r="S2" s="41" t="b">
        <f t="shared" ca="1" si="0"/>
        <v>0</v>
      </c>
      <c r="T2" s="41" t="b">
        <f t="shared" ca="1" si="0"/>
        <v>0</v>
      </c>
      <c r="U2" s="41" t="b">
        <f t="shared" ca="1" si="0"/>
        <v>1</v>
      </c>
      <c r="V2" s="41" t="b">
        <f t="shared" ca="1" si="0"/>
        <v>1</v>
      </c>
      <c r="W2" s="41" t="b">
        <f t="shared" ca="1" si="0"/>
        <v>0</v>
      </c>
      <c r="X2" s="41" t="b">
        <f t="shared" ca="1" si="0"/>
        <v>0</v>
      </c>
      <c r="Y2" s="41" t="b">
        <f t="shared" ca="1" si="0"/>
        <v>0</v>
      </c>
      <c r="Z2" s="41" t="b">
        <f t="shared" ca="1" si="0"/>
        <v>0</v>
      </c>
      <c r="AA2" s="41" t="b">
        <f t="shared" ca="1" si="0"/>
        <v>0</v>
      </c>
      <c r="AB2" s="41" t="b">
        <f t="shared" ca="1" si="0"/>
        <v>1</v>
      </c>
      <c r="AC2" s="41" t="b">
        <f t="shared" ca="1" si="0"/>
        <v>1</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1</v>
      </c>
      <c r="AI2" s="79"/>
      <c r="AJ2" s="79"/>
      <c r="AK2" s="91"/>
    </row>
    <row r="3" spans="2:38" ht="52" x14ac:dyDescent="0.35">
      <c r="B3" s="66" t="s">
        <v>37</v>
      </c>
      <c r="C3" s="67"/>
      <c r="D3" s="68">
        <f>DATEVALUE(AloxÅr&amp;"-"&amp;VLOOKUP(LEFT(B1,3),Holidays!$M$4:$N$15,2,0)&amp;"-1")</f>
        <v>45931</v>
      </c>
      <c r="E3" s="68">
        <f>DATE(YEAR(D3),MONTH(D3),DAY(D3)+1)</f>
        <v>45932</v>
      </c>
      <c r="F3" s="68">
        <f t="shared" ref="F3:AH3" si="1">DATE(YEAR(E3),MONTH(E3),DAY(E3)+1)</f>
        <v>45933</v>
      </c>
      <c r="G3" s="68">
        <f t="shared" si="1"/>
        <v>45934</v>
      </c>
      <c r="H3" s="68">
        <f t="shared" si="1"/>
        <v>45935</v>
      </c>
      <c r="I3" s="68">
        <f t="shared" si="1"/>
        <v>45936</v>
      </c>
      <c r="J3" s="68">
        <f t="shared" si="1"/>
        <v>45937</v>
      </c>
      <c r="K3" s="68">
        <f t="shared" si="1"/>
        <v>45938</v>
      </c>
      <c r="L3" s="68">
        <f t="shared" si="1"/>
        <v>45939</v>
      </c>
      <c r="M3" s="68">
        <f t="shared" si="1"/>
        <v>45940</v>
      </c>
      <c r="N3" s="68">
        <f t="shared" si="1"/>
        <v>45941</v>
      </c>
      <c r="O3" s="68">
        <f t="shared" si="1"/>
        <v>45942</v>
      </c>
      <c r="P3" s="68">
        <f t="shared" si="1"/>
        <v>45943</v>
      </c>
      <c r="Q3" s="68">
        <f t="shared" si="1"/>
        <v>45944</v>
      </c>
      <c r="R3" s="68">
        <f t="shared" si="1"/>
        <v>45945</v>
      </c>
      <c r="S3" s="68">
        <f t="shared" si="1"/>
        <v>45946</v>
      </c>
      <c r="T3" s="68">
        <f t="shared" si="1"/>
        <v>45947</v>
      </c>
      <c r="U3" s="68">
        <f t="shared" si="1"/>
        <v>45948</v>
      </c>
      <c r="V3" s="68">
        <f t="shared" si="1"/>
        <v>45949</v>
      </c>
      <c r="W3" s="68">
        <f t="shared" si="1"/>
        <v>45950</v>
      </c>
      <c r="X3" s="68">
        <f t="shared" si="1"/>
        <v>45951</v>
      </c>
      <c r="Y3" s="68">
        <f t="shared" si="1"/>
        <v>45952</v>
      </c>
      <c r="Z3" s="68">
        <f t="shared" si="1"/>
        <v>45953</v>
      </c>
      <c r="AA3" s="68">
        <f t="shared" si="1"/>
        <v>45954</v>
      </c>
      <c r="AB3" s="68">
        <f t="shared" si="1"/>
        <v>45955</v>
      </c>
      <c r="AC3" s="68">
        <f t="shared" si="1"/>
        <v>45956</v>
      </c>
      <c r="AD3" s="68">
        <f t="shared" si="1"/>
        <v>45957</v>
      </c>
      <c r="AE3" s="68">
        <f t="shared" si="1"/>
        <v>45958</v>
      </c>
      <c r="AF3" s="68">
        <f t="shared" si="1"/>
        <v>45959</v>
      </c>
      <c r="AG3" s="68">
        <f t="shared" si="1"/>
        <v>45960</v>
      </c>
      <c r="AH3" s="68">
        <f t="shared" si="1"/>
        <v>45961</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 t="shared" ref="AI4:AI23" si="2">SUM(D4:AH4)</f>
        <v>0</v>
      </c>
      <c r="AJ4" s="160">
        <f>OctTot.01/8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 t="shared" si="2"/>
        <v>0</v>
      </c>
      <c r="AJ5" s="160">
        <f>OctTot.02/8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 t="shared" si="2"/>
        <v>0</v>
      </c>
      <c r="AJ6" s="160">
        <f>OctTot.03/8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si="2"/>
        <v>0</v>
      </c>
      <c r="AJ7" s="160">
        <f>OctTot.04/8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2"/>
        <v>0</v>
      </c>
      <c r="AJ8" s="160">
        <f>OctTot.05/8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2"/>
        <v>0</v>
      </c>
      <c r="AJ9" s="160">
        <f>OctTot.06/8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2"/>
        <v>0</v>
      </c>
      <c r="AJ10" s="160">
        <f>OctTot.07/8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2"/>
        <v>0</v>
      </c>
      <c r="AJ11" s="160">
        <f>OctTot.08/8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2"/>
        <v>0</v>
      </c>
      <c r="AJ12" s="160">
        <f>OctTot.09/8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2"/>
        <v>0</v>
      </c>
      <c r="AJ13" s="160">
        <f>OctTot.10/8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2"/>
        <v>0</v>
      </c>
      <c r="AJ14" s="160">
        <f>OctTot.11/8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2"/>
        <v>0</v>
      </c>
      <c r="AJ15" s="160">
        <f>OctTot.12/8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2"/>
        <v>0</v>
      </c>
      <c r="AJ16" s="160">
        <f>OctTot.13/8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2"/>
        <v>0</v>
      </c>
      <c r="AJ17" s="160">
        <f>OctTot.14/8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2"/>
        <v>0</v>
      </c>
      <c r="AJ18" s="160">
        <f>OctTot.15/8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2"/>
        <v>0</v>
      </c>
      <c r="AJ19" s="160">
        <f>OctTot.16/8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2"/>
        <v>0</v>
      </c>
      <c r="AJ20" s="160">
        <f>OctTot.17/8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2"/>
        <v>0</v>
      </c>
      <c r="AJ21" s="160">
        <f>OctTot.18/8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2"/>
        <v>0</v>
      </c>
      <c r="AJ22" s="160">
        <f>OctTot.19/8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2"/>
        <v>0</v>
      </c>
      <c r="AJ23" s="160">
        <f>OctTot.20/8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 t="shared" ref="AI24" si="4">SUM(D24:AH24)</f>
        <v>0</v>
      </c>
      <c r="AJ24" s="161">
        <f>AI24/8</f>
        <v>0</v>
      </c>
      <c r="AK24" s="157" t="str">
        <f>IFERROR(AI24/$AI$28,"")</f>
        <v/>
      </c>
      <c r="AL24" s="133"/>
    </row>
    <row r="25" spans="2:38" ht="17.149999999999999" customHeight="1" x14ac:dyDescent="0.35">
      <c r="B25" s="65" t="s">
        <v>45</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72"/>
      <c r="AJ25" s="72"/>
      <c r="AK25" s="64"/>
    </row>
    <row r="26" spans="2:38" ht="17.149999999999999" customHeight="1" x14ac:dyDescent="0.35">
      <c r="B26" s="302" t="s">
        <v>46</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74">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47</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74">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JPPhOUZlLx3+WMfuO6bpnR1urm6v9KAFfl68dc8d2rSn4/bzSI8uidRCsdZ9EwNj7lwf/Zohsm7YDftuGwPgeQ==" saltValue="Sj/WJX8+we8/kp8gx0R20g=="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95" priority="2" operator="containsText" text="Erasmus+">
      <formula>NOT(ISERROR(SEARCH("Erasmus+",B4)))</formula>
    </cfRule>
    <cfRule type="containsText" dxfId="93" priority="4" operator="containsText" text="Other US">
      <formula>NOT(ISERROR(SEARCH("Other US",B4)))</formula>
    </cfRule>
    <cfRule type="containsText" dxfId="92" priority="5" operator="containsText" text="US Army">
      <formula>NOT(ISERROR(SEARCH("US Army",B4)))</formula>
    </cfRule>
    <cfRule type="containsText" dxfId="90" priority="7" operator="containsText" text="NIH">
      <formula>NOT(ISERROR(SEARCH("NIH",B4)))</formula>
    </cfRule>
    <cfRule type="containsText" dxfId="89" priority="8" operator="containsText" text="FP7">
      <formula>NOT(ISERROR(SEARCH("FP7",B4)))</formula>
    </cfRule>
    <cfRule type="containsText" dxfId="88" priority="9" operator="containsText" text="H2020">
      <formula>NOT(ISERROR(SEARCH("H2020",B4)))</formula>
    </cfRule>
    <cfRule type="containsText" dxfId="87" priority="10" operator="containsText" text="Sida">
      <formula>NOT(ISERROR(SEARCH("Sida",B4)))</formula>
    </cfRule>
    <cfRule type="containsText" dxfId="86" priority="11" operator="containsText" text="Other">
      <formula>NOT(ISERROR(SEARCH("Other",B4)))</formula>
    </cfRule>
  </conditionalFormatting>
  <conditionalFormatting sqref="D3:AH3">
    <cfRule type="expression" dxfId="85" priority="85">
      <formula>OR(WEEKDAY(D3,2)=6,WEEKDAY(D3,2)=7)</formula>
    </cfRule>
    <cfRule type="expression" dxfId="84" priority="86">
      <formula>INDEX(INDIRECT("Shortened[WorkHours]"),MATCH(D3,INDIRECT("Shortened[DateInYear]"),0),0)&gt;7</formula>
    </cfRule>
    <cfRule type="expression" dxfId="83" priority="87">
      <formula>INDEX(INDIRECT("Clamp[WorkHours]"),MATCH(D3,INDIRECT("Clamp[DateInYear]"),0),0)&gt;7</formula>
    </cfRule>
    <cfRule type="expression" dxfId="82" priority="88">
      <formula>AND(INDEX(INDIRECT("Clamp[WorkHours]"),MATCH(C3,INDIRECT("Clamp[DateInYear]"),0),0)&gt;0,INDEX(INDIRECT("Clamp[WorkHours]"),MATCH(C3,INDIRECT("Clamp[DateInYear]"),0),0)&lt;8)</formula>
    </cfRule>
    <cfRule type="expression" dxfId="81" priority="89">
      <formula>AND(INDEX(INDIRECT("Shortened[WorkHours]"),MATCH(D3,INDIRECT("Shortened[DateInYear]"),0),0)&gt;0,INDEX(INDIRECT("Shortened[WorkHours]"),MATCH(D3,INDIRECT("Shortened[DateInYear]"),0),0)&lt;8)</formula>
    </cfRule>
    <cfRule type="expression" dxfId="80" priority="90">
      <formula>MATCH(D3,INDIRECT("Fixed_dates[DateInYear]"),0)&gt;0</formula>
    </cfRule>
    <cfRule type="expression" dxfId="79" priority="91">
      <formula>MATCH(D3,INDIRECT("Fixed_weekdays[DateInYear]"),0)&gt;0</formula>
    </cfRule>
  </conditionalFormatting>
  <conditionalFormatting sqref="D4:AH24">
    <cfRule type="expression" dxfId="78" priority="36">
      <formula>D$2</formula>
    </cfRule>
  </conditionalFormatting>
  <conditionalFormatting sqref="D25:AH25">
    <cfRule type="iconSet" priority="70">
      <iconSet iconSet="3Flags">
        <cfvo type="percent" val="0"/>
        <cfvo type="percent" val="33"/>
        <cfvo type="percent" val="67"/>
      </iconSet>
    </cfRule>
    <cfRule type="iconSet" priority="71">
      <iconSet iconSet="3Flags">
        <cfvo type="percent" val="0"/>
        <cfvo type="percent" val="33"/>
        <cfvo type="percent" val="67"/>
      </iconSet>
    </cfRule>
  </conditionalFormatting>
  <conditionalFormatting sqref="D26:AH26">
    <cfRule type="cellIs" dxfId="77" priority="62" operator="greaterThan">
      <formula>24</formula>
    </cfRule>
    <cfRule type="cellIs" dxfId="76" priority="63" operator="greaterThan">
      <formula>14</formula>
    </cfRule>
  </conditionalFormatting>
  <conditionalFormatting sqref="J4:J7">
    <cfRule type="expression" dxfId="75" priority="93">
      <formula>J$2</formula>
    </cfRule>
  </conditionalFormatting>
  <conditionalFormatting sqref="J18:J22">
    <cfRule type="expression" dxfId="74" priority="84">
      <formula>J$2</formula>
    </cfRule>
  </conditionalFormatting>
  <conditionalFormatting sqref="J24">
    <cfRule type="expression" dxfId="73" priority="37">
      <formula>J$2</formula>
    </cfRule>
  </conditionalFormatting>
  <conditionalFormatting sqref="AI35">
    <cfRule type="expression" dxfId="72" priority="1">
      <formula>AJ$2</formula>
    </cfRule>
  </conditionalFormatting>
  <conditionalFormatting sqref="AK30">
    <cfRule type="expression" dxfId="71" priority="66">
      <formula>AL$2</formula>
    </cfRule>
  </conditionalFormatting>
  <dataValidations count="1">
    <dataValidation type="decimal" allowBlank="1" showInputMessage="1" showErrorMessage="1" errorTitle="ERROR !" error="You may report min 0,5 and max 24 hrs per WP or Project" sqref="D4:AH23" xr:uid="{00000000-0002-0000-0D00-000000000000}">
      <formula1>0.5</formula1>
      <formula2>24</formula2>
    </dataValidation>
  </dataValidations>
  <printOptions horizontalCentered="1" verticalCentered="1"/>
  <pageMargins left="0.7" right="0.7" top="1.2072916666666667" bottom="0.75" header="0.45652173913043476" footer="0.3"/>
  <pageSetup paperSize="9" scale="46"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DC9021E7-0AEF-41C2-AEAE-E2CA76C0AA53}">
            <xm:f>NOT(ISERROR(SEARCH("HEU",B4)))</xm:f>
            <xm:f>"HEU"</xm:f>
            <x14:dxf>
              <fill>
                <patternFill>
                  <bgColor theme="8" tint="0.79998168889431442"/>
                </patternFill>
              </fill>
            </x14:dxf>
          </x14:cfRule>
          <x14:cfRule type="containsText" priority="6" operator="containsText" id="{9A674390-DA4E-49B9-AFE0-18725EDCD67D}">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9" id="{9D94013E-89F1-4442-A323-F1166B04DD8E}">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65" id="{B30B6CA7-C995-4C47-BA5E-B5A6A4DDEE27}">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4" id="{EBCDC5A0-6B49-4BF6-9E34-2957EA00E5BF}">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2">
    <tabColor theme="5" tint="-0.249977111117893"/>
    <pageSetUpPr fitToPage="1"/>
  </sheetPr>
  <dimension ref="B1:AL165"/>
  <sheetViews>
    <sheetView showGridLines="0" showZeros="0" zoomScale="60" zoomScaleNormal="60" zoomScaleSheetLayoutView="55" zoomScalePageLayoutView="110" workbookViewId="0">
      <selection activeCell="F4" sqref="F4"/>
    </sheetView>
  </sheetViews>
  <sheetFormatPr defaultColWidth="9.1796875" defaultRowHeight="15" customHeight="1" zeroHeight="1" x14ac:dyDescent="0.35"/>
  <cols>
    <col min="1" max="1" width="1.54296875" customWidth="1"/>
    <col min="2" max="2" width="40" customWidth="1"/>
    <col min="3" max="3" width="23" customWidth="1"/>
    <col min="4" max="33" width="5.1796875" customWidth="1"/>
    <col min="34" max="34" width="10.1796875" hidden="1" customWidth="1"/>
    <col min="35" max="35" width="7.81640625" bestFit="1" customWidth="1"/>
    <col min="36" max="36" width="9" customWidth="1"/>
    <col min="37" max="37" width="11.1796875" customWidth="1"/>
    <col min="38" max="38" width="32.81640625" customWidth="1"/>
    <col min="39" max="39" width="5.1796875" customWidth="1"/>
    <col min="40" max="40" width="9.1796875" customWidth="1"/>
  </cols>
  <sheetData>
    <row r="1" spans="2:38" ht="21" x14ac:dyDescent="0.35">
      <c r="B1" s="75" t="s">
        <v>66</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E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0</v>
      </c>
      <c r="G2" s="41" t="b">
        <f t="shared" ca="1" si="0"/>
        <v>0</v>
      </c>
      <c r="H2" s="41" t="b">
        <f t="shared" ca="1" si="0"/>
        <v>0</v>
      </c>
      <c r="I2" s="41" t="b">
        <f t="shared" ca="1" si="0"/>
        <v>0</v>
      </c>
      <c r="J2" s="41" t="b">
        <f t="shared" ca="1" si="0"/>
        <v>0</v>
      </c>
      <c r="K2" s="41" t="b">
        <f t="shared" ca="1" si="0"/>
        <v>1</v>
      </c>
      <c r="L2" s="41" t="b">
        <f t="shared" ca="1" si="0"/>
        <v>1</v>
      </c>
      <c r="M2" s="41" t="b">
        <f t="shared" ca="1" si="0"/>
        <v>0</v>
      </c>
      <c r="N2" s="41" t="b">
        <f t="shared" ca="1" si="0"/>
        <v>0</v>
      </c>
      <c r="O2" s="41" t="b">
        <f t="shared" ca="1" si="0"/>
        <v>0</v>
      </c>
      <c r="P2" s="41" t="b">
        <f t="shared" ca="1" si="0"/>
        <v>0</v>
      </c>
      <c r="Q2" s="41" t="b">
        <f t="shared" ca="1" si="0"/>
        <v>0</v>
      </c>
      <c r="R2" s="90" t="b">
        <f t="shared" ca="1" si="0"/>
        <v>1</v>
      </c>
      <c r="S2" s="41" t="b">
        <f t="shared" ca="1" si="0"/>
        <v>1</v>
      </c>
      <c r="T2" s="41" t="b">
        <f t="shared" ca="1" si="0"/>
        <v>0</v>
      </c>
      <c r="U2" s="41" t="b">
        <f t="shared" ca="1" si="0"/>
        <v>0</v>
      </c>
      <c r="V2" s="41" t="b">
        <f t="shared" ca="1" si="0"/>
        <v>0</v>
      </c>
      <c r="W2" s="41" t="b">
        <f t="shared" ca="1" si="0"/>
        <v>0</v>
      </c>
      <c r="X2" s="41" t="b">
        <f t="shared" ca="1" si="0"/>
        <v>0</v>
      </c>
      <c r="Y2" s="41" t="b">
        <f t="shared" ca="1" si="0"/>
        <v>1</v>
      </c>
      <c r="Z2" s="41" t="b">
        <f t="shared" ca="1" si="0"/>
        <v>1</v>
      </c>
      <c r="AA2" s="41" t="b">
        <f t="shared" ca="1" si="0"/>
        <v>0</v>
      </c>
      <c r="AB2" s="41" t="b">
        <f t="shared" ca="1" si="0"/>
        <v>0</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1</v>
      </c>
      <c r="AH2" s="41" t="b">
        <f t="shared" ca="1" si="0"/>
        <v>0</v>
      </c>
      <c r="AI2" s="91"/>
      <c r="AJ2" s="91"/>
      <c r="AK2" s="91"/>
    </row>
    <row r="3" spans="2:38" ht="52" x14ac:dyDescent="0.35">
      <c r="B3" s="66" t="s">
        <v>37</v>
      </c>
      <c r="C3" s="67"/>
      <c r="D3" s="68">
        <f>DATEVALUE(AloxÅr&amp;"-"&amp;VLOOKUP(LEFT(B1,3),Holidays!$M$4:$N$15,2,0)&amp;"-1")</f>
        <v>45962</v>
      </c>
      <c r="E3" s="68">
        <f>DATE(YEAR(D3),MONTH(D3),DAY(D3)+1)</f>
        <v>45963</v>
      </c>
      <c r="F3" s="68">
        <f t="shared" ref="F3:AH3" si="1">DATE(YEAR(E3),MONTH(E3),DAY(E3)+1)</f>
        <v>45964</v>
      </c>
      <c r="G3" s="68">
        <f t="shared" si="1"/>
        <v>45965</v>
      </c>
      <c r="H3" s="68">
        <f t="shared" si="1"/>
        <v>45966</v>
      </c>
      <c r="I3" s="68">
        <f t="shared" si="1"/>
        <v>45967</v>
      </c>
      <c r="J3" s="68">
        <f t="shared" si="1"/>
        <v>45968</v>
      </c>
      <c r="K3" s="68">
        <f t="shared" si="1"/>
        <v>45969</v>
      </c>
      <c r="L3" s="68">
        <f t="shared" si="1"/>
        <v>45970</v>
      </c>
      <c r="M3" s="68">
        <f t="shared" si="1"/>
        <v>45971</v>
      </c>
      <c r="N3" s="68">
        <f t="shared" si="1"/>
        <v>45972</v>
      </c>
      <c r="O3" s="68">
        <f t="shared" si="1"/>
        <v>45973</v>
      </c>
      <c r="P3" s="68">
        <f t="shared" si="1"/>
        <v>45974</v>
      </c>
      <c r="Q3" s="68">
        <f t="shared" si="1"/>
        <v>45975</v>
      </c>
      <c r="R3" s="68">
        <f t="shared" si="1"/>
        <v>45976</v>
      </c>
      <c r="S3" s="68">
        <f t="shared" si="1"/>
        <v>45977</v>
      </c>
      <c r="T3" s="68">
        <f t="shared" si="1"/>
        <v>45978</v>
      </c>
      <c r="U3" s="68">
        <f t="shared" si="1"/>
        <v>45979</v>
      </c>
      <c r="V3" s="68">
        <f t="shared" si="1"/>
        <v>45980</v>
      </c>
      <c r="W3" s="68">
        <f t="shared" si="1"/>
        <v>45981</v>
      </c>
      <c r="X3" s="68">
        <f t="shared" si="1"/>
        <v>45982</v>
      </c>
      <c r="Y3" s="68">
        <f t="shared" si="1"/>
        <v>45983</v>
      </c>
      <c r="Z3" s="68">
        <f t="shared" si="1"/>
        <v>45984</v>
      </c>
      <c r="AA3" s="68">
        <f t="shared" si="1"/>
        <v>45985</v>
      </c>
      <c r="AB3" s="68">
        <f t="shared" si="1"/>
        <v>45986</v>
      </c>
      <c r="AC3" s="68">
        <f t="shared" si="1"/>
        <v>45987</v>
      </c>
      <c r="AD3" s="68">
        <f t="shared" si="1"/>
        <v>45988</v>
      </c>
      <c r="AE3" s="68">
        <f t="shared" si="1"/>
        <v>45989</v>
      </c>
      <c r="AF3" s="68">
        <f t="shared" si="1"/>
        <v>45990</v>
      </c>
      <c r="AG3" s="68">
        <f t="shared" si="1"/>
        <v>45991</v>
      </c>
      <c r="AH3" s="68">
        <f t="shared" si="1"/>
        <v>45992</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136"/>
      <c r="AI4" s="160">
        <f>SUM(D4:AG4)</f>
        <v>0</v>
      </c>
      <c r="AJ4" s="160">
        <f>NovTot.01/8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136"/>
      <c r="AI5" s="160">
        <f t="shared" ref="AI5:AI23" si="2">SUM(D5:AG5)</f>
        <v>0</v>
      </c>
      <c r="AJ5" s="160">
        <f>NovTot.02/8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136"/>
      <c r="AI6" s="160">
        <f t="shared" si="2"/>
        <v>0</v>
      </c>
      <c r="AJ6" s="160">
        <f>NovTot.03/8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136"/>
      <c r="AI7" s="160">
        <f t="shared" si="2"/>
        <v>0</v>
      </c>
      <c r="AJ7" s="160">
        <f>NovTot.04/8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136"/>
      <c r="AI8" s="160">
        <f t="shared" si="2"/>
        <v>0</v>
      </c>
      <c r="AJ8" s="160">
        <f>NovTot.05/8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136"/>
      <c r="AI9" s="160">
        <f t="shared" si="2"/>
        <v>0</v>
      </c>
      <c r="AJ9" s="160">
        <f>NovTot.06/8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136"/>
      <c r="AI10" s="160">
        <f t="shared" si="2"/>
        <v>0</v>
      </c>
      <c r="AJ10" s="160">
        <f>NovTot.07/8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136"/>
      <c r="AI11" s="160">
        <f t="shared" si="2"/>
        <v>0</v>
      </c>
      <c r="AJ11" s="160">
        <f>NovTot.08/8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136"/>
      <c r="AI12" s="160">
        <f t="shared" si="2"/>
        <v>0</v>
      </c>
      <c r="AJ12" s="160">
        <f>NovTot.09/8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136"/>
      <c r="AI13" s="160">
        <f t="shared" si="2"/>
        <v>0</v>
      </c>
      <c r="AJ13" s="160">
        <f>NovTot.10/8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136"/>
      <c r="AI14" s="160">
        <f t="shared" si="2"/>
        <v>0</v>
      </c>
      <c r="AJ14" s="160">
        <f>NovTot.11/8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136"/>
      <c r="AI15" s="160">
        <f t="shared" si="2"/>
        <v>0</v>
      </c>
      <c r="AJ15" s="160">
        <f>NovTot.12/8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135"/>
      <c r="AI16" s="160">
        <f t="shared" si="2"/>
        <v>0</v>
      </c>
      <c r="AJ16" s="160">
        <f>NovTot.13/8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135"/>
      <c r="AI17" s="160">
        <f t="shared" si="2"/>
        <v>0</v>
      </c>
      <c r="AJ17" s="160">
        <f>NovTot.14/8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136"/>
      <c r="AI18" s="160">
        <f t="shared" si="2"/>
        <v>0</v>
      </c>
      <c r="AJ18" s="160">
        <f>NovTot.15/8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136"/>
      <c r="AI19" s="160">
        <f t="shared" si="2"/>
        <v>0</v>
      </c>
      <c r="AJ19" s="160">
        <f>NovTot.16/8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136"/>
      <c r="AI20" s="160">
        <f t="shared" si="2"/>
        <v>0</v>
      </c>
      <c r="AJ20" s="160">
        <f>NovTot.17/8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136"/>
      <c r="AI21" s="160">
        <f t="shared" si="2"/>
        <v>0</v>
      </c>
      <c r="AJ21" s="160">
        <f>NovTot.18/8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136"/>
      <c r="AI22" s="160">
        <f t="shared" si="2"/>
        <v>0</v>
      </c>
      <c r="AJ22" s="160">
        <f>NovTot.19/8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136"/>
      <c r="AI23" s="160">
        <f t="shared" si="2"/>
        <v>0</v>
      </c>
      <c r="AJ23" s="160">
        <f>NovTot.20/8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61">
        <f>SUM(D24:AG24)</f>
        <v>0</v>
      </c>
      <c r="AJ24" s="161">
        <f>AI24/8</f>
        <v>0</v>
      </c>
      <c r="AK24" s="157" t="str">
        <f>IFERROR(AI24/$AI$28,"")</f>
        <v/>
      </c>
      <c r="AL24" s="133"/>
    </row>
    <row r="25" spans="2:38" ht="17.149999999999999" customHeight="1" x14ac:dyDescent="0.35">
      <c r="B25" s="65" t="s">
        <v>45</v>
      </c>
      <c r="C25" s="64"/>
      <c r="D25" s="71">
        <f>D26</f>
        <v>0</v>
      </c>
      <c r="E25" s="71">
        <f t="shared" ref="E25:AH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f t="shared" si="4"/>
        <v>0</v>
      </c>
      <c r="AI25" s="166"/>
      <c r="AJ25" s="64"/>
      <c r="AK25" s="64"/>
    </row>
    <row r="26" spans="2:38" ht="17.149999999999999" customHeight="1" x14ac:dyDescent="0.35">
      <c r="B26" s="302" t="s">
        <v>46</v>
      </c>
      <c r="C26" s="303"/>
      <c r="D26" s="73">
        <f t="shared" ref="D26:AH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 t="shared" si="5"/>
        <v>0</v>
      </c>
      <c r="AI26" s="162">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167"/>
      <c r="AJ27" s="64"/>
    </row>
    <row r="28" spans="2:38" ht="17.149999999999999" customHeight="1" x14ac:dyDescent="0.35">
      <c r="B28" s="302" t="s">
        <v>47</v>
      </c>
      <c r="C28" s="303"/>
      <c r="D28" s="73">
        <f>SUM(D4:D24)</f>
        <v>0</v>
      </c>
      <c r="E28" s="73">
        <f t="shared" ref="E28:AG28" si="6">SUM(E4:E24)</f>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c r="AI28" s="162">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11"/>
      <c r="AF29" s="11"/>
      <c r="AG29" s="11"/>
      <c r="AH29" s="46"/>
      <c r="AI29" s="11"/>
      <c r="AJ29" s="11"/>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49"/>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11"/>
      <c r="AF34" s="11"/>
      <c r="AG34" s="11"/>
      <c r="AH34" s="62"/>
      <c r="AI34" s="52"/>
      <c r="AJ34" s="52"/>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J39" s="11"/>
      <c r="AK39" s="11"/>
    </row>
    <row r="40" spans="2:38" ht="14.5" x14ac:dyDescent="0.35">
      <c r="B40" s="9" t="s">
        <v>45</v>
      </c>
      <c r="C40" s="9">
        <f>ROW()</f>
        <v>40</v>
      </c>
      <c r="AC40" s="305"/>
      <c r="AD40" s="306"/>
      <c r="AE40" s="306"/>
      <c r="AF40" s="306"/>
      <c r="AG40" s="306"/>
      <c r="AH40" s="306"/>
    </row>
    <row r="41" spans="2:38" ht="14.5" x14ac:dyDescent="0.35">
      <c r="AC41" s="307"/>
      <c r="AD41" s="308"/>
      <c r="AE41" s="308"/>
      <c r="AF41" s="308"/>
      <c r="AG41" s="308"/>
      <c r="AH41" s="308"/>
    </row>
    <row r="42" spans="2:38" ht="15" customHeight="1" x14ac:dyDescent="0.35">
      <c r="B42" s="314"/>
      <c r="C42" s="314"/>
      <c r="D42" s="314"/>
      <c r="E42" s="314"/>
      <c r="F42" s="314"/>
      <c r="G42" s="314"/>
      <c r="H42" s="314"/>
      <c r="I42" s="314"/>
      <c r="J42" s="314"/>
      <c r="K42" s="314"/>
      <c r="L42" s="171"/>
      <c r="M42" s="171"/>
      <c r="N42" s="314"/>
      <c r="O42" s="314"/>
      <c r="P42" s="314"/>
      <c r="Q42" s="314"/>
      <c r="R42" s="314"/>
      <c r="S42" s="314"/>
      <c r="T42" s="314"/>
      <c r="U42" s="314"/>
      <c r="V42" s="314"/>
      <c r="W42" s="314"/>
    </row>
    <row r="43" spans="2:38" ht="15" customHeight="1" x14ac:dyDescent="0.35">
      <c r="B43" s="314"/>
      <c r="C43" s="314"/>
      <c r="D43" s="314"/>
      <c r="E43" s="314"/>
      <c r="F43" s="314"/>
      <c r="G43" s="314"/>
      <c r="H43" s="314"/>
      <c r="I43" s="314"/>
      <c r="J43" s="314"/>
      <c r="K43" s="314"/>
      <c r="L43" s="171"/>
      <c r="M43" s="171"/>
      <c r="N43" s="314"/>
      <c r="O43" s="314"/>
      <c r="P43" s="314"/>
      <c r="Q43" s="314"/>
      <c r="R43" s="314"/>
      <c r="S43" s="314"/>
      <c r="T43" s="314"/>
      <c r="U43" s="314"/>
      <c r="V43" s="314"/>
      <c r="W43" s="314"/>
    </row>
    <row r="44" spans="2:38" ht="14.5" x14ac:dyDescent="0.35">
      <c r="B44" s="314"/>
      <c r="C44" s="314"/>
      <c r="D44" s="314"/>
      <c r="E44" s="314"/>
      <c r="F44" s="314"/>
      <c r="G44" s="314"/>
      <c r="H44" s="314"/>
      <c r="I44" s="314"/>
      <c r="J44" s="314"/>
      <c r="K44" s="314"/>
      <c r="L44" s="171"/>
      <c r="M44" s="171"/>
      <c r="N44" s="314"/>
      <c r="O44" s="314"/>
      <c r="P44" s="314"/>
      <c r="Q44" s="314"/>
      <c r="R44" s="314"/>
      <c r="S44" s="314"/>
      <c r="T44" s="314"/>
      <c r="U44" s="314"/>
      <c r="V44" s="314"/>
      <c r="W44" s="314"/>
    </row>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8MQveRPEJQ1E3IdwAusJwwrSpf2O1wJ9VEa26NrM7xr1Gj8AuN6CdoEvVoJpYaDG6j3OO7HJKMDQbZZM9mkKXg==" saltValue="G+oXP8yHBQq4Xs6CtXoPHg==" spinCount="100000" sheet="1" selectLockedCells="1"/>
  <mergeCells count="35">
    <mergeCell ref="N42:W44"/>
    <mergeCell ref="B14:C14"/>
    <mergeCell ref="B15:C15"/>
    <mergeCell ref="B16:C16"/>
    <mergeCell ref="B17:C17"/>
    <mergeCell ref="B26:C26"/>
    <mergeCell ref="B28:C28"/>
    <mergeCell ref="B18:C18"/>
    <mergeCell ref="B19:C19"/>
    <mergeCell ref="B21:C21"/>
    <mergeCell ref="B22:C22"/>
    <mergeCell ref="B23:C23"/>
    <mergeCell ref="B20:C20"/>
    <mergeCell ref="B42:K44"/>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70" priority="2" operator="containsText" text="Erasmus+">
      <formula>NOT(ISERROR(SEARCH("Erasmus+",B4)))</formula>
    </cfRule>
    <cfRule type="containsText" dxfId="68" priority="4" operator="containsText" text="Other US">
      <formula>NOT(ISERROR(SEARCH("Other US",B4)))</formula>
    </cfRule>
    <cfRule type="containsText" dxfId="67" priority="5" operator="containsText" text="US Army">
      <formula>NOT(ISERROR(SEARCH("US Army",B4)))</formula>
    </cfRule>
    <cfRule type="containsText" dxfId="65" priority="7" operator="containsText" text="NIH">
      <formula>NOT(ISERROR(SEARCH("NIH",B4)))</formula>
    </cfRule>
    <cfRule type="containsText" dxfId="64" priority="8" operator="containsText" text="FP7">
      <formula>NOT(ISERROR(SEARCH("FP7",B4)))</formula>
    </cfRule>
    <cfRule type="containsText" dxfId="63" priority="9" operator="containsText" text="H2020">
      <formula>NOT(ISERROR(SEARCH("H2020",B4)))</formula>
    </cfRule>
    <cfRule type="containsText" dxfId="62" priority="10" operator="containsText" text="Sida">
      <formula>NOT(ISERROR(SEARCH("Sida",B4)))</formula>
    </cfRule>
    <cfRule type="containsText" dxfId="61" priority="11" operator="containsText" text="Other">
      <formula>NOT(ISERROR(SEARCH("Other",B4)))</formula>
    </cfRule>
  </conditionalFormatting>
  <conditionalFormatting sqref="D25:AD25">
    <cfRule type="iconSet" priority="86">
      <iconSet iconSet="3Flags">
        <cfvo type="percent" val="0"/>
        <cfvo type="percent" val="33"/>
        <cfvo type="percent" val="67"/>
      </iconSet>
    </cfRule>
    <cfRule type="iconSet" priority="87">
      <iconSet iconSet="3Flags">
        <cfvo type="percent" val="0"/>
        <cfvo type="percent" val="33"/>
        <cfvo type="percent" val="67"/>
      </iconSet>
    </cfRule>
  </conditionalFormatting>
  <conditionalFormatting sqref="D3:AH3">
    <cfRule type="expression" dxfId="60" priority="43">
      <formula>OR(WEEKDAY(D3,2)=6,WEEKDAY(D3,2)=7)</formula>
    </cfRule>
    <cfRule type="expression" dxfId="59" priority="44">
      <formula>INDEX(INDIRECT("Shortened[WorkHours]"),MATCH(D3,INDIRECT("Shortened[DateInYear]"),0),0)&gt;7</formula>
    </cfRule>
    <cfRule type="expression" dxfId="58" priority="45">
      <formula>INDEX(INDIRECT("Clamp[WorkHours]"),MATCH(D3,INDIRECT("Clamp[DateInYear]"),0),0)&gt;7</formula>
    </cfRule>
    <cfRule type="expression" dxfId="57" priority="46">
      <formula>AND(INDEX(INDIRECT("Clamp[WorkHours]"),MATCH(C3,INDIRECT("Clamp[DateInYear]"),0),0)&gt;0,INDEX(INDIRECT("Clamp[WorkHours]"),MATCH(C3,INDIRECT("Clamp[DateInYear]"),0),0)&lt;8)</formula>
    </cfRule>
    <cfRule type="expression" dxfId="56" priority="47">
      <formula>AND(INDEX(INDIRECT("Shortened[WorkHours]"),MATCH(D3,INDIRECT("Shortened[DateInYear]"),0),0)&gt;0,INDEX(INDIRECT("Shortened[WorkHours]"),MATCH(D3,INDIRECT("Shortened[DateInYear]"),0),0)&lt;8)</formula>
    </cfRule>
    <cfRule type="expression" dxfId="55" priority="48">
      <formula>MATCH(D3,INDIRECT("Fixed_dates[DateInYear]"),0)&gt;0</formula>
    </cfRule>
    <cfRule type="expression" dxfId="54" priority="49">
      <formula>MATCH(D3,INDIRECT("Fixed_weekdays[DateInYear]"),0)&gt;0</formula>
    </cfRule>
  </conditionalFormatting>
  <conditionalFormatting sqref="D4:AH24">
    <cfRule type="expression" dxfId="53" priority="36">
      <formula>D$2</formula>
    </cfRule>
  </conditionalFormatting>
  <conditionalFormatting sqref="D26:AH26">
    <cfRule type="cellIs" dxfId="52" priority="38" operator="greaterThan">
      <formula>24</formula>
    </cfRule>
    <cfRule type="cellIs" dxfId="51" priority="39" operator="greaterThan">
      <formula>14</formula>
    </cfRule>
  </conditionalFormatting>
  <conditionalFormatting sqref="J4:J7">
    <cfRule type="expression" dxfId="50" priority="109">
      <formula>J$2</formula>
    </cfRule>
  </conditionalFormatting>
  <conditionalFormatting sqref="J18:J22">
    <cfRule type="expression" dxfId="49" priority="100">
      <formula>J$2</formula>
    </cfRule>
  </conditionalFormatting>
  <conditionalFormatting sqref="J24">
    <cfRule type="expression" dxfId="48" priority="37">
      <formula>J$2</formula>
    </cfRule>
  </conditionalFormatting>
  <conditionalFormatting sqref="AE25:AG25">
    <cfRule type="iconSet" priority="42">
      <iconSet iconSet="3Flags">
        <cfvo type="percent" val="0"/>
        <cfvo type="percent" val="33"/>
        <cfvo type="percent" val="67"/>
      </iconSet>
    </cfRule>
    <cfRule type="iconSet" priority="41">
      <iconSet iconSet="3Flags">
        <cfvo type="percent" val="0"/>
        <cfvo type="percent" val="33"/>
        <cfvo type="percent" val="67"/>
      </iconSet>
    </cfRule>
  </conditionalFormatting>
  <conditionalFormatting sqref="AI35">
    <cfRule type="expression" dxfId="47" priority="1">
      <formula>AJ$2</formula>
    </cfRule>
  </conditionalFormatting>
  <conditionalFormatting sqref="AI31:AJ31">
    <cfRule type="expression" dxfId="46" priority="53">
      <formula>AJ$2</formula>
    </cfRule>
  </conditionalFormatting>
  <conditionalFormatting sqref="AK30">
    <cfRule type="expression" dxfId="45" priority="82">
      <formula>AL$2</formula>
    </cfRule>
  </conditionalFormatting>
  <dataValidations count="1">
    <dataValidation type="decimal" allowBlank="1" showInputMessage="1" showErrorMessage="1" errorTitle="ERROR !" error="You may report min 0,5 and max 24 hrs per WP or Project" sqref="D4:AG23" xr:uid="{00000000-0002-0000-0E00-000000000000}">
      <formula1>0.5</formula1>
      <formula2>24</formula2>
    </dataValidation>
  </dataValidations>
  <printOptions horizontalCentered="1" verticalCentered="1"/>
  <pageMargins left="0.7" right="0.7" top="1.2072916666666667" bottom="0.75" header="0.45652173913043476" footer="0.3"/>
  <pageSetup paperSize="9" scale="47"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0864B29A-EE0D-4F91-B35D-DA4EE76E7075}">
            <xm:f>NOT(ISERROR(SEARCH("HEU",B4)))</xm:f>
            <xm:f>"HEU"</xm:f>
            <x14:dxf>
              <fill>
                <patternFill>
                  <bgColor theme="8" tint="0.79998168889431442"/>
                </patternFill>
              </fill>
            </x14:dxf>
          </x14:cfRule>
          <x14:cfRule type="containsText" priority="6" operator="containsText" id="{80E83466-814F-4796-9E82-51E03597BDD4}">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85" id="{AEE0F08E-B6D4-44E5-94B3-503EA47ADC02}">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D25:AD25</xm:sqref>
        </x14:conditionalFormatting>
        <x14:conditionalFormatting xmlns:xm="http://schemas.microsoft.com/office/excel/2006/main">
          <x14:cfRule type="iconSet" priority="40" id="{E213255A-36FD-4D24-A018-3B2F0954F8B2}">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AE25:AG25</xm:sqref>
        </x14:conditionalFormatting>
        <x14:conditionalFormatting xmlns:xm="http://schemas.microsoft.com/office/excel/2006/main">
          <x14:cfRule type="iconSet" priority="51" id="{5D95DBCB-2751-4049-A30A-B76161D94EF2}">
            <x14:iconSet iconSet="3Flags" showValue="0" custom="1">
              <x14:cfvo type="percent">
                <xm:f>0</xm:f>
              </x14:cfvo>
              <x14:cfvo type="num">
                <xm:f>0</xm:f>
              </x14:cfvo>
              <x14:cfvo type="num" gte="0">
                <xm:f>0</xm:f>
              </x14:cfvo>
              <x14:cfIcon iconSet="NoIcons" iconId="0"/>
              <x14:cfIcon iconSet="NoIcons" iconId="0"/>
              <x14:cfIcon iconSet="3Flags" iconId="0"/>
            </x14:iconSet>
          </x14:cfRule>
          <xm:sqref>AI33</xm:sqref>
        </x14:conditionalFormatting>
        <x14:conditionalFormatting xmlns:xm="http://schemas.microsoft.com/office/excel/2006/main">
          <x14:cfRule type="iconSet" priority="81" id="{E4250514-5626-4660-833C-3E99FCC62C9C}">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80" id="{13BED990-44AB-4EE0-BCAF-C2AD47F6C527}">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3">
    <tabColor theme="5" tint="-0.249977111117893"/>
    <pageSetUpPr fitToPage="1"/>
  </sheetPr>
  <dimension ref="B1:AL165"/>
  <sheetViews>
    <sheetView showGridLines="0" showZeros="0" zoomScale="60" zoomScaleNormal="60" workbookViewId="0">
      <selection activeCell="D4" sqref="D4"/>
    </sheetView>
  </sheetViews>
  <sheetFormatPr defaultColWidth="9.1796875" defaultRowHeight="15" customHeight="1" zeroHeight="1" x14ac:dyDescent="0.35"/>
  <cols>
    <col min="1" max="1" width="1.54296875" customWidth="1"/>
    <col min="2" max="2" width="40" customWidth="1"/>
    <col min="3" max="3" width="22.81640625" customWidth="1"/>
    <col min="4" max="34" width="5.1796875" customWidth="1"/>
    <col min="35" max="35" width="8.1796875" customWidth="1"/>
    <col min="36" max="36" width="8.81640625" customWidth="1"/>
    <col min="37" max="37" width="11.1796875" customWidth="1"/>
    <col min="38" max="38" width="31.453125" customWidth="1"/>
    <col min="39" max="39" width="5.81640625" customWidth="1"/>
    <col min="40" max="40" width="9.1796875" customWidth="1"/>
  </cols>
  <sheetData>
    <row r="1" spans="2:38" ht="21" x14ac:dyDescent="0.35">
      <c r="B1" s="75" t="s">
        <v>67</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0</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0</v>
      </c>
      <c r="H2" s="41" t="b">
        <f t="shared" ca="1" si="0"/>
        <v>0</v>
      </c>
      <c r="I2" s="41" t="b">
        <f t="shared" ca="1" si="0"/>
        <v>1</v>
      </c>
      <c r="J2" s="41" t="b">
        <f t="shared" ca="1" si="0"/>
        <v>1</v>
      </c>
      <c r="K2" s="41" t="b">
        <f t="shared" ca="1" si="0"/>
        <v>0</v>
      </c>
      <c r="L2" s="41" t="b">
        <f t="shared" ca="1" si="0"/>
        <v>0</v>
      </c>
      <c r="M2" s="41" t="b">
        <f t="shared" ca="1" si="0"/>
        <v>0</v>
      </c>
      <c r="N2" s="41" t="b">
        <f t="shared" ca="1" si="0"/>
        <v>0</v>
      </c>
      <c r="O2" s="41" t="b">
        <f t="shared" ca="1" si="0"/>
        <v>0</v>
      </c>
      <c r="P2" s="41" t="b">
        <f t="shared" ca="1" si="0"/>
        <v>1</v>
      </c>
      <c r="Q2" s="41" t="b">
        <f t="shared" ca="1" si="0"/>
        <v>1</v>
      </c>
      <c r="R2" s="90" t="b">
        <f t="shared" ca="1" si="0"/>
        <v>0</v>
      </c>
      <c r="S2" s="41" t="b">
        <f t="shared" ca="1" si="0"/>
        <v>0</v>
      </c>
      <c r="T2" s="41" t="b">
        <f t="shared" ca="1" si="0"/>
        <v>0</v>
      </c>
      <c r="U2" s="41" t="b">
        <f t="shared" ca="1" si="0"/>
        <v>0</v>
      </c>
      <c r="V2" s="41" t="b">
        <f t="shared" ca="1" si="0"/>
        <v>0</v>
      </c>
      <c r="W2" s="41" t="b">
        <f t="shared" ca="1" si="0"/>
        <v>1</v>
      </c>
      <c r="X2" s="41" t="b">
        <f t="shared" ca="1" si="0"/>
        <v>1</v>
      </c>
      <c r="Y2" s="41" t="b">
        <f t="shared" ca="1" si="0"/>
        <v>0</v>
      </c>
      <c r="Z2" s="41" t="b">
        <f t="shared" ca="1" si="0"/>
        <v>0</v>
      </c>
      <c r="AA2" s="41" t="b">
        <f t="shared" ca="1" si="0"/>
        <v>1</v>
      </c>
      <c r="AB2" s="41" t="b">
        <f t="shared" ca="1" si="0"/>
        <v>1</v>
      </c>
      <c r="AC2" s="41" t="b">
        <f t="shared" ca="1" si="0"/>
        <v>1</v>
      </c>
      <c r="AD2" s="41" t="b">
        <f t="shared" ca="1" si="0"/>
        <v>1</v>
      </c>
      <c r="AE2" s="41" t="b">
        <f t="shared" ca="1" si="0"/>
        <v>1</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1</v>
      </c>
      <c r="AI2" s="79"/>
      <c r="AJ2" s="79"/>
      <c r="AK2" s="91"/>
    </row>
    <row r="3" spans="2:38" ht="52" x14ac:dyDescent="0.35">
      <c r="B3" s="66" t="s">
        <v>37</v>
      </c>
      <c r="C3" s="67"/>
      <c r="D3" s="68">
        <f>DATEVALUE(AloxÅr&amp;"-"&amp;VLOOKUP(LEFT(B1,3),Holidays!$M$4:$N$15,2,0)&amp;"-1")</f>
        <v>45992</v>
      </c>
      <c r="E3" s="68">
        <f>DATE(YEAR(D3),MONTH(D3),DAY(D3)+1)</f>
        <v>45993</v>
      </c>
      <c r="F3" s="68">
        <f t="shared" ref="F3:AH3" si="1">DATE(YEAR(E3),MONTH(E3),DAY(E3)+1)</f>
        <v>45994</v>
      </c>
      <c r="G3" s="68">
        <f t="shared" si="1"/>
        <v>45995</v>
      </c>
      <c r="H3" s="68">
        <f t="shared" si="1"/>
        <v>45996</v>
      </c>
      <c r="I3" s="68">
        <f t="shared" si="1"/>
        <v>45997</v>
      </c>
      <c r="J3" s="68">
        <f t="shared" si="1"/>
        <v>45998</v>
      </c>
      <c r="K3" s="68">
        <f t="shared" si="1"/>
        <v>45999</v>
      </c>
      <c r="L3" s="68">
        <f t="shared" si="1"/>
        <v>46000</v>
      </c>
      <c r="M3" s="68">
        <f t="shared" si="1"/>
        <v>46001</v>
      </c>
      <c r="N3" s="68">
        <f t="shared" si="1"/>
        <v>46002</v>
      </c>
      <c r="O3" s="68">
        <f t="shared" si="1"/>
        <v>46003</v>
      </c>
      <c r="P3" s="68">
        <f t="shared" si="1"/>
        <v>46004</v>
      </c>
      <c r="Q3" s="68">
        <f t="shared" si="1"/>
        <v>46005</v>
      </c>
      <c r="R3" s="68">
        <f t="shared" si="1"/>
        <v>46006</v>
      </c>
      <c r="S3" s="68">
        <f t="shared" si="1"/>
        <v>46007</v>
      </c>
      <c r="T3" s="68">
        <f t="shared" si="1"/>
        <v>46008</v>
      </c>
      <c r="U3" s="68">
        <f t="shared" si="1"/>
        <v>46009</v>
      </c>
      <c r="V3" s="68">
        <f t="shared" si="1"/>
        <v>46010</v>
      </c>
      <c r="W3" s="68">
        <f t="shared" si="1"/>
        <v>46011</v>
      </c>
      <c r="X3" s="68">
        <f t="shared" si="1"/>
        <v>46012</v>
      </c>
      <c r="Y3" s="68">
        <f t="shared" si="1"/>
        <v>46013</v>
      </c>
      <c r="Z3" s="68">
        <f t="shared" si="1"/>
        <v>46014</v>
      </c>
      <c r="AA3" s="68">
        <f t="shared" si="1"/>
        <v>46015</v>
      </c>
      <c r="AB3" s="68">
        <f t="shared" si="1"/>
        <v>46016</v>
      </c>
      <c r="AC3" s="68">
        <f t="shared" si="1"/>
        <v>46017</v>
      </c>
      <c r="AD3" s="68">
        <f t="shared" si="1"/>
        <v>46018</v>
      </c>
      <c r="AE3" s="68">
        <f t="shared" si="1"/>
        <v>46019</v>
      </c>
      <c r="AF3" s="68">
        <f t="shared" si="1"/>
        <v>46020</v>
      </c>
      <c r="AG3" s="68">
        <f t="shared" si="1"/>
        <v>46021</v>
      </c>
      <c r="AH3" s="68">
        <f t="shared" si="1"/>
        <v>46022</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136"/>
      <c r="AC4" s="69"/>
      <c r="AD4" s="69"/>
      <c r="AE4" s="69"/>
      <c r="AF4" s="69"/>
      <c r="AG4" s="69"/>
      <c r="AH4" s="69"/>
      <c r="AI4" s="70">
        <f>SUM(D4:AH4)</f>
        <v>0</v>
      </c>
      <c r="AJ4" s="160">
        <f>DecTot.01/8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136"/>
      <c r="AC5" s="69"/>
      <c r="AD5" s="69"/>
      <c r="AE5" s="69"/>
      <c r="AF5" s="69"/>
      <c r="AG5" s="69"/>
      <c r="AH5" s="69"/>
      <c r="AI5" s="70">
        <f t="shared" ref="AI5:AI23" si="2">SUM(D5:AH5)</f>
        <v>0</v>
      </c>
      <c r="AJ5" s="160">
        <f>DecTot.02/8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136"/>
      <c r="AC6" s="69"/>
      <c r="AD6" s="69"/>
      <c r="AE6" s="69"/>
      <c r="AF6" s="69"/>
      <c r="AG6" s="69"/>
      <c r="AH6" s="69"/>
      <c r="AI6" s="70">
        <f t="shared" si="2"/>
        <v>0</v>
      </c>
      <c r="AJ6" s="160">
        <f>DecTot.03/8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136"/>
      <c r="AC7" s="69"/>
      <c r="AD7" s="69"/>
      <c r="AE7" s="69"/>
      <c r="AF7" s="69"/>
      <c r="AG7" s="69"/>
      <c r="AH7" s="69"/>
      <c r="AI7" s="70">
        <f t="shared" si="2"/>
        <v>0</v>
      </c>
      <c r="AJ7" s="160">
        <f>DecTot.04/8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136"/>
      <c r="AC8" s="69"/>
      <c r="AD8" s="69"/>
      <c r="AE8" s="69"/>
      <c r="AF8" s="69"/>
      <c r="AG8" s="69"/>
      <c r="AH8" s="69"/>
      <c r="AI8" s="70">
        <f t="shared" si="2"/>
        <v>0</v>
      </c>
      <c r="AJ8" s="160">
        <f>DecTot.05/8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136"/>
      <c r="AC9" s="69"/>
      <c r="AD9" s="69"/>
      <c r="AE9" s="69"/>
      <c r="AF9" s="69"/>
      <c r="AG9" s="69"/>
      <c r="AH9" s="69"/>
      <c r="AI9" s="70">
        <f t="shared" si="2"/>
        <v>0</v>
      </c>
      <c r="AJ9" s="160">
        <f>DecTot.06/8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136"/>
      <c r="AC10" s="69"/>
      <c r="AD10" s="69"/>
      <c r="AE10" s="69"/>
      <c r="AF10" s="69"/>
      <c r="AG10" s="69"/>
      <c r="AH10" s="69"/>
      <c r="AI10" s="70">
        <f t="shared" si="2"/>
        <v>0</v>
      </c>
      <c r="AJ10" s="160">
        <f>DecTot.07/8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136"/>
      <c r="AC11" s="69"/>
      <c r="AD11" s="69"/>
      <c r="AE11" s="69"/>
      <c r="AF11" s="69"/>
      <c r="AG11" s="69"/>
      <c r="AH11" s="69"/>
      <c r="AI11" s="70">
        <f t="shared" si="2"/>
        <v>0</v>
      </c>
      <c r="AJ11" s="160">
        <f>DecTot.08/8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136"/>
      <c r="AC12" s="69"/>
      <c r="AD12" s="69"/>
      <c r="AE12" s="69"/>
      <c r="AF12" s="69"/>
      <c r="AG12" s="69"/>
      <c r="AH12" s="69"/>
      <c r="AI12" s="70">
        <f t="shared" si="2"/>
        <v>0</v>
      </c>
      <c r="AJ12" s="160">
        <f>DecTot.09/8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136"/>
      <c r="AC13" s="69"/>
      <c r="AD13" s="69"/>
      <c r="AE13" s="69"/>
      <c r="AF13" s="69"/>
      <c r="AG13" s="69"/>
      <c r="AH13" s="69"/>
      <c r="AI13" s="70">
        <f t="shared" si="2"/>
        <v>0</v>
      </c>
      <c r="AJ13" s="160">
        <f>DecTot.10/8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136"/>
      <c r="AC14" s="69"/>
      <c r="AD14" s="69"/>
      <c r="AE14" s="69"/>
      <c r="AF14" s="69"/>
      <c r="AG14" s="69"/>
      <c r="AH14" s="69"/>
      <c r="AI14" s="70">
        <f t="shared" si="2"/>
        <v>0</v>
      </c>
      <c r="AJ14" s="160">
        <f>DecTot.11/8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136"/>
      <c r="AC15" s="69"/>
      <c r="AD15" s="69"/>
      <c r="AE15" s="69"/>
      <c r="AF15" s="69"/>
      <c r="AG15" s="69"/>
      <c r="AH15" s="69"/>
      <c r="AI15" s="70">
        <f t="shared" si="2"/>
        <v>0</v>
      </c>
      <c r="AJ15" s="160">
        <f>DecTot.12/8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136"/>
      <c r="AC16" s="69"/>
      <c r="AD16" s="69"/>
      <c r="AE16" s="69"/>
      <c r="AF16" s="69"/>
      <c r="AG16" s="69"/>
      <c r="AH16" s="69"/>
      <c r="AI16" s="70">
        <f t="shared" si="2"/>
        <v>0</v>
      </c>
      <c r="AJ16" s="160">
        <f>DecTot.13/8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136"/>
      <c r="AC17" s="69"/>
      <c r="AD17" s="69"/>
      <c r="AE17" s="69"/>
      <c r="AF17" s="69"/>
      <c r="AG17" s="69"/>
      <c r="AH17" s="69"/>
      <c r="AI17" s="70">
        <f t="shared" si="2"/>
        <v>0</v>
      </c>
      <c r="AJ17" s="160">
        <f>DecTot.14/8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136"/>
      <c r="AC18" s="69"/>
      <c r="AD18" s="69"/>
      <c r="AE18" s="69"/>
      <c r="AF18" s="69"/>
      <c r="AG18" s="69"/>
      <c r="AH18" s="69"/>
      <c r="AI18" s="70">
        <f t="shared" si="2"/>
        <v>0</v>
      </c>
      <c r="AJ18" s="160">
        <f>DecTot.15/8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136"/>
      <c r="AC19" s="69"/>
      <c r="AD19" s="69"/>
      <c r="AE19" s="69"/>
      <c r="AF19" s="69"/>
      <c r="AG19" s="69"/>
      <c r="AH19" s="69"/>
      <c r="AI19" s="70">
        <f t="shared" si="2"/>
        <v>0</v>
      </c>
      <c r="AJ19" s="160">
        <f>DecTot.16/8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136"/>
      <c r="AC20" s="69"/>
      <c r="AD20" s="69"/>
      <c r="AE20" s="69"/>
      <c r="AF20" s="69"/>
      <c r="AG20" s="69"/>
      <c r="AH20" s="69"/>
      <c r="AI20" s="70">
        <f t="shared" si="2"/>
        <v>0</v>
      </c>
      <c r="AJ20" s="160">
        <f>DecTot.17/8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136"/>
      <c r="AC21" s="69"/>
      <c r="AD21" s="69"/>
      <c r="AE21" s="69"/>
      <c r="AF21" s="69"/>
      <c r="AG21" s="69"/>
      <c r="AH21" s="69"/>
      <c r="AI21" s="70">
        <f t="shared" si="2"/>
        <v>0</v>
      </c>
      <c r="AJ21" s="160">
        <f>DecTot.18/8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136"/>
      <c r="AC22" s="69"/>
      <c r="AD22" s="69"/>
      <c r="AE22" s="69"/>
      <c r="AF22" s="69"/>
      <c r="AG22" s="69"/>
      <c r="AH22" s="69"/>
      <c r="AI22" s="70">
        <f t="shared" si="2"/>
        <v>0</v>
      </c>
      <c r="AJ22" s="160">
        <f>DecTot.19/8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136"/>
      <c r="AC23" s="69"/>
      <c r="AD23" s="69"/>
      <c r="AE23" s="69"/>
      <c r="AF23" s="69"/>
      <c r="AG23" s="69"/>
      <c r="AH23" s="69"/>
      <c r="AI23" s="70">
        <f t="shared" si="2"/>
        <v>0</v>
      </c>
      <c r="AJ23" s="160">
        <f>DecTot.20/8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217"/>
      <c r="AC24" s="155"/>
      <c r="AD24" s="155"/>
      <c r="AE24" s="155"/>
      <c r="AF24" s="155"/>
      <c r="AG24" s="155"/>
      <c r="AH24" s="155"/>
      <c r="AI24" s="156">
        <f>SUM(D24:AH24)</f>
        <v>0</v>
      </c>
      <c r="AJ24" s="161">
        <f>AI24/8</f>
        <v>0</v>
      </c>
      <c r="AK24" s="157" t="str">
        <f>IFERROR(AI24/$AI$28,"")</f>
        <v/>
      </c>
      <c r="AL24" s="133"/>
    </row>
    <row r="25" spans="2:38" ht="17.149999999999999" customHeight="1" x14ac:dyDescent="0.35">
      <c r="B25" s="65" t="s">
        <v>45</v>
      </c>
      <c r="C25" s="64"/>
      <c r="D25" s="71">
        <v>1</v>
      </c>
      <c r="E25" s="71">
        <f t="shared" ref="E25:AH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f t="shared" si="4"/>
        <v>0</v>
      </c>
      <c r="AI25" s="72"/>
      <c r="AJ25" s="72"/>
      <c r="AK25" s="64"/>
    </row>
    <row r="26" spans="2:38" ht="17.149999999999999" customHeight="1" x14ac:dyDescent="0.35">
      <c r="B26" s="302" t="s">
        <v>46</v>
      </c>
      <c r="C26" s="303"/>
      <c r="D26" s="73">
        <f t="shared" ref="D26:AH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f t="shared" si="5"/>
        <v>0</v>
      </c>
      <c r="AH26" s="73">
        <f t="shared" si="5"/>
        <v>0</v>
      </c>
      <c r="AI26" s="74">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row>
    <row r="28" spans="2:38" ht="17.149999999999999" customHeight="1" x14ac:dyDescent="0.35">
      <c r="B28" s="302" t="s">
        <v>47</v>
      </c>
      <c r="C28" s="303"/>
      <c r="D28" s="73">
        <f>SUM(D4:D24)</f>
        <v>0</v>
      </c>
      <c r="E28" s="73">
        <f>SUM(E4:E24)</f>
        <v>0</v>
      </c>
      <c r="F28" s="73">
        <f t="shared" ref="F28:AG28" si="6">SUM(F4:F24)</f>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f t="shared" si="6"/>
        <v>0</v>
      </c>
      <c r="AH28" s="73">
        <f t="shared" ref="AH28" si="7">SUM(AH4:AH24)</f>
        <v>0</v>
      </c>
      <c r="AI28" s="74">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50"/>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150"/>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150"/>
    </row>
    <row r="34" spans="2:38" ht="18.75" customHeight="1"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c r="AJ34" s="11"/>
      <c r="AK34" s="52"/>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8.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c r="AK39" s="11"/>
    </row>
    <row r="40" spans="2:38" ht="14.5" x14ac:dyDescent="0.35">
      <c r="B40" s="9" t="s">
        <v>45</v>
      </c>
      <c r="C40" s="9">
        <f>ROW()</f>
        <v>40</v>
      </c>
      <c r="AC40" s="305"/>
      <c r="AD40" s="306"/>
      <c r="AE40" s="306"/>
      <c r="AF40" s="306"/>
      <c r="AG40" s="306"/>
      <c r="AH40" s="306"/>
    </row>
    <row r="41" spans="2:38" ht="14.5" customHeight="1" x14ac:dyDescent="0.35">
      <c r="AC41" s="307"/>
      <c r="AD41" s="308"/>
      <c r="AE41" s="308"/>
      <c r="AF41" s="308"/>
      <c r="AG41" s="308"/>
      <c r="AH41" s="308"/>
    </row>
    <row r="42" spans="2:38" ht="15" customHeight="1" x14ac:dyDescent="0.35">
      <c r="B42" s="314"/>
      <c r="C42" s="314"/>
      <c r="D42" s="314"/>
      <c r="E42" s="314"/>
      <c r="F42" s="314"/>
      <c r="G42" s="314"/>
      <c r="H42" s="314"/>
      <c r="I42" s="314"/>
      <c r="J42" s="314"/>
      <c r="K42" s="314"/>
    </row>
    <row r="43" spans="2:38" ht="15" customHeight="1" x14ac:dyDescent="0.35">
      <c r="B43" s="314"/>
      <c r="C43" s="314"/>
      <c r="D43" s="314"/>
      <c r="E43" s="314"/>
      <c r="F43" s="314"/>
      <c r="G43" s="314"/>
      <c r="H43" s="314"/>
      <c r="I43" s="314"/>
      <c r="J43" s="314"/>
      <c r="K43" s="314"/>
    </row>
    <row r="44" spans="2:38" ht="14.5" x14ac:dyDescent="0.35"/>
    <row r="45" spans="2:38" ht="14.5" x14ac:dyDescent="0.35"/>
    <row r="46" spans="2:38" ht="15" customHeight="1" x14ac:dyDescent="0.35"/>
    <row r="47" spans="2:38" ht="15" customHeight="1"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S8zjxMuOCcmLoa0y0LD1I8GOBZm/RjyO/zmX/RGl9dop4FHBdQBRKdKlpTr8/eO+p5HaBJDk6EsWWaSzCWS6Rg==" saltValue="aWZifn2dTRLMcxeXXqTmjg==" spinCount="100000" sheet="1" selectLockedCells="1"/>
  <mergeCells count="34">
    <mergeCell ref="B42:K43"/>
    <mergeCell ref="B14:C14"/>
    <mergeCell ref="B15:C15"/>
    <mergeCell ref="B16:C16"/>
    <mergeCell ref="B17:C17"/>
    <mergeCell ref="B26:C26"/>
    <mergeCell ref="B28:C28"/>
    <mergeCell ref="B18:C18"/>
    <mergeCell ref="B19:C19"/>
    <mergeCell ref="B21:C21"/>
    <mergeCell ref="B22:C22"/>
    <mergeCell ref="B23:C23"/>
    <mergeCell ref="B20:C20"/>
    <mergeCell ref="B9:C9"/>
    <mergeCell ref="B10:C10"/>
    <mergeCell ref="B11:C11"/>
    <mergeCell ref="B12:C12"/>
    <mergeCell ref="B13:C13"/>
    <mergeCell ref="B8:C8"/>
    <mergeCell ref="B4:C4"/>
    <mergeCell ref="B5:C5"/>
    <mergeCell ref="B6:C6"/>
    <mergeCell ref="B7:C7"/>
    <mergeCell ref="AC41:AH41"/>
    <mergeCell ref="AC40:AH40"/>
    <mergeCell ref="AK30:AL30"/>
    <mergeCell ref="X32:AA32"/>
    <mergeCell ref="AB32:AC32"/>
    <mergeCell ref="AE32:AH32"/>
    <mergeCell ref="Q33:AI33"/>
    <mergeCell ref="Q31:AI31"/>
    <mergeCell ref="Q30:AI30"/>
    <mergeCell ref="Q36:Z38"/>
    <mergeCell ref="AC36:AL38"/>
  </mergeCells>
  <conditionalFormatting sqref="B4:C23">
    <cfRule type="containsText" dxfId="44" priority="2" operator="containsText" text="Erasmus+">
      <formula>NOT(ISERROR(SEARCH("Erasmus+",B4)))</formula>
    </cfRule>
    <cfRule type="containsText" dxfId="42" priority="4" operator="containsText" text="Other US">
      <formula>NOT(ISERROR(SEARCH("Other US",B4)))</formula>
    </cfRule>
    <cfRule type="containsText" dxfId="41" priority="5" operator="containsText" text="US Army">
      <formula>NOT(ISERROR(SEARCH("US Army",B4)))</formula>
    </cfRule>
    <cfRule type="containsText" dxfId="39" priority="7" operator="containsText" text="NIH">
      <formula>NOT(ISERROR(SEARCH("NIH",B4)))</formula>
    </cfRule>
    <cfRule type="containsText" dxfId="38" priority="8" operator="containsText" text="FP7">
      <formula>NOT(ISERROR(SEARCH("FP7",B4)))</formula>
    </cfRule>
    <cfRule type="containsText" dxfId="37" priority="9" operator="containsText" text="H2020">
      <formula>NOT(ISERROR(SEARCH("H2020",B4)))</formula>
    </cfRule>
    <cfRule type="containsText" dxfId="36" priority="10" operator="containsText" text="Sida">
      <formula>NOT(ISERROR(SEARCH("Sida",B4)))</formula>
    </cfRule>
    <cfRule type="containsText" dxfId="35" priority="11" operator="containsText" text="Other">
      <formula>NOT(ISERROR(SEARCH("Other",B4)))</formula>
    </cfRule>
  </conditionalFormatting>
  <conditionalFormatting sqref="D3:AH3">
    <cfRule type="expression" dxfId="34" priority="85">
      <formula>OR(WEEKDAY(D3,2)=6,WEEKDAY(D3,2)=7)</formula>
    </cfRule>
    <cfRule type="expression" dxfId="33" priority="86">
      <formula>INDEX(INDIRECT("Shortened[WorkHours]"),MATCH(D3,INDIRECT("Shortened[DateInYear]"),0),0)&gt;7</formula>
    </cfRule>
    <cfRule type="expression" dxfId="32" priority="87">
      <formula>INDEX(INDIRECT("Clamp[WorkHours]"),MATCH(D3,INDIRECT("Clamp[DateInYear]"),0),0)&gt;7</formula>
    </cfRule>
    <cfRule type="expression" dxfId="31" priority="88">
      <formula>AND(INDEX(INDIRECT("Clamp[WorkHours]"),MATCH(C3,INDIRECT("Clamp[DateInYear]"),0),0)&gt;0,INDEX(INDIRECT("Clamp[WorkHours]"),MATCH(C3,INDIRECT("Clamp[DateInYear]"),0),0)&lt;8)</formula>
    </cfRule>
    <cfRule type="expression" dxfId="30" priority="89">
      <formula>AND(INDEX(INDIRECT("Shortened[WorkHours]"),MATCH(D3,INDIRECT("Shortened[DateInYear]"),0),0)&gt;0,INDEX(INDIRECT("Shortened[WorkHours]"),MATCH(D3,INDIRECT("Shortened[DateInYear]"),0),0)&lt;8)</formula>
    </cfRule>
    <cfRule type="expression" dxfId="29" priority="90">
      <formula>MATCH(D3,INDIRECT("Fixed_dates[DateInYear]"),0)&gt;0</formula>
    </cfRule>
    <cfRule type="expression" dxfId="28" priority="91">
      <formula>MATCH(D3,INDIRECT("Fixed_weekdays[DateInYear]"),0)&gt;0</formula>
    </cfRule>
  </conditionalFormatting>
  <conditionalFormatting sqref="D4:AH24">
    <cfRule type="expression" dxfId="27" priority="36">
      <formula>D$2</formula>
    </cfRule>
  </conditionalFormatting>
  <conditionalFormatting sqref="D25:AH25">
    <cfRule type="iconSet" priority="70">
      <iconSet iconSet="3Flags">
        <cfvo type="percent" val="0"/>
        <cfvo type="percent" val="33"/>
        <cfvo type="percent" val="67"/>
      </iconSet>
    </cfRule>
    <cfRule type="iconSet" priority="71">
      <iconSet iconSet="3Flags">
        <cfvo type="percent" val="0"/>
        <cfvo type="percent" val="33"/>
        <cfvo type="percent" val="67"/>
      </iconSet>
    </cfRule>
  </conditionalFormatting>
  <conditionalFormatting sqref="D26:AH26">
    <cfRule type="cellIs" dxfId="26" priority="62" operator="greaterThan">
      <formula>24</formula>
    </cfRule>
    <cfRule type="cellIs" dxfId="25" priority="63" operator="greaterThan">
      <formula>14</formula>
    </cfRule>
  </conditionalFormatting>
  <conditionalFormatting sqref="J4:J7">
    <cfRule type="expression" dxfId="24" priority="93">
      <formula>J$2</formula>
    </cfRule>
  </conditionalFormatting>
  <conditionalFormatting sqref="J18:J22">
    <cfRule type="expression" dxfId="23" priority="84">
      <formula>J$2</formula>
    </cfRule>
  </conditionalFormatting>
  <conditionalFormatting sqref="J24">
    <cfRule type="expression" dxfId="22" priority="37">
      <formula>J$2</formula>
    </cfRule>
  </conditionalFormatting>
  <conditionalFormatting sqref="AI35">
    <cfRule type="expression" dxfId="21" priority="1">
      <formula>AJ$2</formula>
    </cfRule>
  </conditionalFormatting>
  <conditionalFormatting sqref="AK30">
    <cfRule type="expression" dxfId="20" priority="66">
      <formula>AL$2</formula>
    </cfRule>
  </conditionalFormatting>
  <dataValidations count="1">
    <dataValidation type="decimal" allowBlank="1" showInputMessage="1" showErrorMessage="1" errorTitle="ERROR !" error="You may report min 0,5 and max 24 hrs per WP or Project" sqref="D4:AH23" xr:uid="{00000000-0002-0000-0F00-000000000000}">
      <formula1>0.5</formula1>
      <formula2>24</formula2>
    </dataValidation>
  </dataValidations>
  <printOptions horizontalCentered="1" verticalCentered="1"/>
  <pageMargins left="0.7" right="0.7" top="1.2072916666666667" bottom="0.75" header="0.45652173913043476" footer="0.3"/>
  <pageSetup paperSize="9" scale="47"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3" operator="containsText" id="{A802EB33-3FD8-4294-8BEE-E21C5740F37E}">
            <xm:f>NOT(ISERROR(SEARCH("HEU",B4)))</xm:f>
            <xm:f>"HEU"</xm:f>
            <x14:dxf>
              <fill>
                <patternFill>
                  <bgColor theme="8" tint="0.79998168889431442"/>
                </patternFill>
              </fill>
            </x14:dxf>
          </x14:cfRule>
          <x14:cfRule type="containsText" priority="6" operator="containsText" id="{1E39BC79-6B3B-42A4-A609-35362D2EB17A}">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69" id="{015D498A-7197-4045-BD0C-24D378903967}">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65" id="{EF4232EA-F87E-4BB0-B40E-8F080C7A354C}">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4" id="{6A6A6494-2BE7-4294-A689-A10F61C9C718}">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0000"/>
    <pageSetUpPr fitToPage="1"/>
  </sheetPr>
  <dimension ref="A1:H36"/>
  <sheetViews>
    <sheetView showGridLines="0" showRowColHeaders="0" zoomScale="70" zoomScaleNormal="70" zoomScaleSheetLayoutView="70" workbookViewId="0">
      <selection activeCell="B4" sqref="B4:C27"/>
    </sheetView>
  </sheetViews>
  <sheetFormatPr defaultColWidth="0" defaultRowHeight="15" customHeight="1" zeroHeight="1" x14ac:dyDescent="0.35"/>
  <cols>
    <col min="1" max="1" width="4" style="4" customWidth="1"/>
    <col min="2" max="2" width="17.1796875" customWidth="1"/>
    <col min="3" max="3" width="54.81640625" customWidth="1"/>
    <col min="4" max="4" width="1.81640625" customWidth="1"/>
    <col min="5" max="5" width="14.54296875" customWidth="1"/>
    <col min="6" max="6" width="24.81640625" customWidth="1"/>
    <col min="7" max="7" width="9.453125" customWidth="1"/>
    <col min="8" max="8" width="26.54296875" customWidth="1"/>
    <col min="9" max="9" width="2.81640625" customWidth="1"/>
    <col min="16384" max="16384" width="0" hidden="1" customWidth="1"/>
  </cols>
  <sheetData>
    <row r="1" spans="1:8" ht="12" customHeight="1" x14ac:dyDescent="0.35">
      <c r="B1" s="3"/>
      <c r="C1" s="3"/>
      <c r="D1" s="3"/>
      <c r="E1" s="3"/>
      <c r="F1" s="3"/>
      <c r="G1" s="3"/>
      <c r="H1" s="3"/>
    </row>
    <row r="2" spans="1:8" ht="25.5" customHeight="1" x14ac:dyDescent="0.35">
      <c r="A2" s="129"/>
      <c r="B2" s="241" t="s">
        <v>1</v>
      </c>
      <c r="C2" s="242"/>
      <c r="D2" s="242"/>
      <c r="E2" s="242"/>
      <c r="F2" s="242"/>
      <c r="G2" s="242"/>
      <c r="H2" s="243"/>
    </row>
    <row r="3" spans="1:8" ht="14.5" x14ac:dyDescent="0.35">
      <c r="A3" s="244"/>
      <c r="B3" s="230"/>
      <c r="C3" s="230"/>
      <c r="D3" s="230"/>
      <c r="E3" s="230"/>
      <c r="F3" s="230"/>
      <c r="G3" s="230"/>
      <c r="H3" s="230"/>
    </row>
    <row r="4" spans="1:8" s="7" customFormat="1" ht="15" customHeight="1" x14ac:dyDescent="0.3">
      <c r="A4" s="56"/>
      <c r="B4" s="246" t="s">
        <v>2</v>
      </c>
      <c r="C4" s="247"/>
      <c r="D4" s="36"/>
      <c r="E4" s="252" t="s">
        <v>3</v>
      </c>
      <c r="F4" s="253"/>
      <c r="G4" s="253"/>
      <c r="H4" s="254"/>
    </row>
    <row r="5" spans="1:8" s="7" customFormat="1" ht="15" customHeight="1" x14ac:dyDescent="0.3">
      <c r="A5" s="56"/>
      <c r="B5" s="248"/>
      <c r="C5" s="249"/>
      <c r="D5" s="8"/>
      <c r="E5" s="255"/>
      <c r="F5" s="256"/>
      <c r="G5" s="256"/>
      <c r="H5" s="257"/>
    </row>
    <row r="6" spans="1:8" s="7" customFormat="1" ht="15" customHeight="1" x14ac:dyDescent="0.35">
      <c r="A6" s="57"/>
      <c r="B6" s="248"/>
      <c r="C6" s="249"/>
      <c r="D6" s="8"/>
      <c r="E6" s="255"/>
      <c r="F6" s="256"/>
      <c r="G6" s="256"/>
      <c r="H6" s="257"/>
    </row>
    <row r="7" spans="1:8" s="7" customFormat="1" ht="15" customHeight="1" x14ac:dyDescent="0.35">
      <c r="A7" s="57"/>
      <c r="B7" s="248"/>
      <c r="C7" s="249"/>
      <c r="D7" s="55"/>
      <c r="E7" s="255"/>
      <c r="F7" s="256"/>
      <c r="G7" s="256"/>
      <c r="H7" s="257"/>
    </row>
    <row r="8" spans="1:8" s="7" customFormat="1" ht="15" customHeight="1" x14ac:dyDescent="0.35">
      <c r="A8" s="57"/>
      <c r="B8" s="248"/>
      <c r="C8" s="249"/>
      <c r="D8" s="8"/>
      <c r="E8" s="255"/>
      <c r="F8" s="256"/>
      <c r="G8" s="256"/>
      <c r="H8" s="257"/>
    </row>
    <row r="9" spans="1:8" s="7" customFormat="1" ht="15" customHeight="1" x14ac:dyDescent="0.3">
      <c r="A9" s="56"/>
      <c r="B9" s="248"/>
      <c r="C9" s="249"/>
      <c r="D9" s="55"/>
      <c r="E9" s="255"/>
      <c r="F9" s="256"/>
      <c r="G9" s="256"/>
      <c r="H9" s="257"/>
    </row>
    <row r="10" spans="1:8" s="7" customFormat="1" ht="15" customHeight="1" x14ac:dyDescent="0.3">
      <c r="A10" s="56"/>
      <c r="B10" s="248"/>
      <c r="C10" s="249"/>
      <c r="D10" s="8"/>
      <c r="E10" s="255"/>
      <c r="F10" s="256"/>
      <c r="G10" s="256"/>
      <c r="H10" s="257"/>
    </row>
    <row r="11" spans="1:8" s="7" customFormat="1" ht="15" customHeight="1" x14ac:dyDescent="0.3">
      <c r="A11" s="56"/>
      <c r="B11" s="248"/>
      <c r="C11" s="249"/>
      <c r="D11" s="31"/>
      <c r="E11" s="255"/>
      <c r="F11" s="256"/>
      <c r="G11" s="256"/>
      <c r="H11" s="257"/>
    </row>
    <row r="12" spans="1:8" s="7" customFormat="1" ht="15" customHeight="1" x14ac:dyDescent="0.35">
      <c r="A12" s="57"/>
      <c r="B12" s="248"/>
      <c r="C12" s="249"/>
      <c r="D12" s="31"/>
      <c r="E12" s="255"/>
      <c r="F12" s="256"/>
      <c r="G12" s="256"/>
      <c r="H12" s="257"/>
    </row>
    <row r="13" spans="1:8" s="7" customFormat="1" ht="15" customHeight="1" x14ac:dyDescent="0.35">
      <c r="A13" s="57"/>
      <c r="B13" s="248"/>
      <c r="C13" s="249"/>
      <c r="D13" s="31"/>
      <c r="E13" s="255"/>
      <c r="F13" s="256"/>
      <c r="G13" s="256"/>
      <c r="H13" s="257"/>
    </row>
    <row r="14" spans="1:8" s="7" customFormat="1" ht="15" customHeight="1" x14ac:dyDescent="0.3">
      <c r="A14" s="56"/>
      <c r="B14" s="248"/>
      <c r="C14" s="249"/>
      <c r="D14" s="31"/>
      <c r="E14" s="255"/>
      <c r="F14" s="256"/>
      <c r="G14" s="256"/>
      <c r="H14" s="257"/>
    </row>
    <row r="15" spans="1:8" s="7" customFormat="1" ht="15" customHeight="1" x14ac:dyDescent="0.3">
      <c r="A15" s="58"/>
      <c r="B15" s="248"/>
      <c r="C15" s="249"/>
      <c r="D15" s="8"/>
      <c r="E15" s="255"/>
      <c r="F15" s="256"/>
      <c r="G15" s="256"/>
      <c r="H15" s="257"/>
    </row>
    <row r="16" spans="1:8" s="7" customFormat="1" ht="15" customHeight="1" x14ac:dyDescent="0.3">
      <c r="A16" s="58"/>
      <c r="B16" s="248"/>
      <c r="C16" s="249"/>
      <c r="D16" s="36"/>
      <c r="E16" s="255"/>
      <c r="F16" s="256"/>
      <c r="G16" s="256"/>
      <c r="H16" s="257"/>
    </row>
    <row r="17" spans="1:8" s="7" customFormat="1" ht="15" customHeight="1" x14ac:dyDescent="0.3">
      <c r="A17" s="58"/>
      <c r="B17" s="248"/>
      <c r="C17" s="249"/>
      <c r="D17" s="8"/>
      <c r="E17" s="255"/>
      <c r="F17" s="256"/>
      <c r="G17" s="256"/>
      <c r="H17" s="257"/>
    </row>
    <row r="18" spans="1:8" s="7" customFormat="1" ht="15" customHeight="1" x14ac:dyDescent="0.3">
      <c r="A18" s="56"/>
      <c r="B18" s="248"/>
      <c r="C18" s="249"/>
      <c r="D18" s="31"/>
      <c r="E18" s="255"/>
      <c r="F18" s="256"/>
      <c r="G18" s="256"/>
      <c r="H18" s="257"/>
    </row>
    <row r="19" spans="1:8" s="7" customFormat="1" ht="15" customHeight="1" x14ac:dyDescent="0.3">
      <c r="A19" s="56"/>
      <c r="B19" s="248"/>
      <c r="C19" s="249"/>
      <c r="D19" s="31"/>
      <c r="E19" s="255"/>
      <c r="F19" s="256"/>
      <c r="G19" s="256"/>
      <c r="H19" s="257"/>
    </row>
    <row r="20" spans="1:8" s="7" customFormat="1" ht="15" customHeight="1" x14ac:dyDescent="0.3">
      <c r="A20" s="58"/>
      <c r="B20" s="248"/>
      <c r="C20" s="249"/>
      <c r="D20" s="8"/>
      <c r="E20" s="255"/>
      <c r="F20" s="256"/>
      <c r="G20" s="256"/>
      <c r="H20" s="257"/>
    </row>
    <row r="21" spans="1:8" s="7" customFormat="1" ht="15" customHeight="1" x14ac:dyDescent="0.3">
      <c r="A21" s="56"/>
      <c r="B21" s="248"/>
      <c r="C21" s="249"/>
      <c r="D21" s="8"/>
      <c r="E21" s="255"/>
      <c r="F21" s="256"/>
      <c r="G21" s="256"/>
      <c r="H21" s="257"/>
    </row>
    <row r="22" spans="1:8" s="7" customFormat="1" ht="15" customHeight="1" x14ac:dyDescent="0.3">
      <c r="A22" s="59"/>
      <c r="B22" s="248"/>
      <c r="C22" s="249"/>
      <c r="D22" s="31"/>
      <c r="E22" s="255"/>
      <c r="F22" s="256"/>
      <c r="G22" s="256"/>
      <c r="H22" s="257"/>
    </row>
    <row r="23" spans="1:8" s="7" customFormat="1" ht="15" customHeight="1" x14ac:dyDescent="0.3">
      <c r="A23" s="56"/>
      <c r="B23" s="248"/>
      <c r="C23" s="249"/>
      <c r="D23" s="31"/>
      <c r="E23" s="255"/>
      <c r="F23" s="256"/>
      <c r="G23" s="256"/>
      <c r="H23" s="257"/>
    </row>
    <row r="24" spans="1:8" s="7" customFormat="1" ht="15" customHeight="1" x14ac:dyDescent="0.3">
      <c r="A24" s="59"/>
      <c r="B24" s="248"/>
      <c r="C24" s="249"/>
      <c r="D24" s="8"/>
      <c r="E24" s="255"/>
      <c r="F24" s="256"/>
      <c r="G24" s="256"/>
      <c r="H24" s="257"/>
    </row>
    <row r="25" spans="1:8" s="7" customFormat="1" ht="22.5" customHeight="1" x14ac:dyDescent="0.3">
      <c r="A25" s="59"/>
      <c r="B25" s="248"/>
      <c r="C25" s="249"/>
      <c r="D25" s="8"/>
      <c r="E25" s="255"/>
      <c r="F25" s="256"/>
      <c r="G25" s="256"/>
      <c r="H25" s="257"/>
    </row>
    <row r="26" spans="1:8" s="7" customFormat="1" ht="25.5" customHeight="1" x14ac:dyDescent="0.3">
      <c r="A26" s="56"/>
      <c r="B26" s="248"/>
      <c r="C26" s="249"/>
      <c r="D26" s="8"/>
      <c r="E26" s="255"/>
      <c r="F26" s="256"/>
      <c r="G26" s="256"/>
      <c r="H26" s="257"/>
    </row>
    <row r="27" spans="1:8" s="7" customFormat="1" ht="92.25" customHeight="1" x14ac:dyDescent="0.3">
      <c r="A27" s="8"/>
      <c r="B27" s="250"/>
      <c r="C27" s="251"/>
      <c r="D27" s="36"/>
      <c r="E27" s="258"/>
      <c r="F27" s="259"/>
      <c r="G27" s="259"/>
      <c r="H27" s="260"/>
    </row>
    <row r="28" spans="1:8" ht="9.75" customHeight="1" x14ac:dyDescent="0.35">
      <c r="B28" s="3"/>
    </row>
    <row r="29" spans="1:8" s="6" customFormat="1" ht="34.5" customHeight="1" x14ac:dyDescent="0.45">
      <c r="A29" s="5"/>
      <c r="B29" s="261" t="s">
        <v>4</v>
      </c>
      <c r="C29" s="262"/>
      <c r="D29" s="262"/>
      <c r="E29" s="262"/>
      <c r="F29" s="262"/>
      <c r="G29" s="263"/>
      <c r="H29" s="264"/>
    </row>
    <row r="30" spans="1:8" s="6" customFormat="1" ht="9.75" customHeight="1" x14ac:dyDescent="0.35">
      <c r="A30" s="5"/>
      <c r="B30" s="37"/>
      <c r="C30" s="37"/>
      <c r="D30" s="37"/>
      <c r="E30" s="37"/>
      <c r="F30" s="37"/>
      <c r="G30" s="38"/>
      <c r="H30" s="38"/>
    </row>
    <row r="31" spans="1:8" s="6" customFormat="1" ht="34.5" customHeight="1" x14ac:dyDescent="0.45">
      <c r="A31" s="107"/>
      <c r="B31" s="222" t="s">
        <v>5</v>
      </c>
      <c r="C31" s="223"/>
      <c r="D31" s="223"/>
      <c r="E31" s="223"/>
      <c r="F31" s="223"/>
      <c r="G31" s="224"/>
      <c r="H31" s="225"/>
    </row>
    <row r="32" spans="1:8" s="6" customFormat="1" ht="15" customHeight="1" x14ac:dyDescent="0.35">
      <c r="A32" s="5"/>
      <c r="B32" s="37"/>
      <c r="C32" s="37"/>
      <c r="D32" s="37"/>
      <c r="E32" s="37"/>
      <c r="F32" s="37"/>
      <c r="G32" s="38"/>
      <c r="H32" s="38"/>
    </row>
    <row r="33" spans="1:8" s="6" customFormat="1" ht="15.75" customHeight="1" x14ac:dyDescent="0.35">
      <c r="A33" s="5"/>
      <c r="B33" s="245"/>
      <c r="C33" s="245"/>
      <c r="D33" s="245"/>
      <c r="E33" s="245"/>
      <c r="F33" s="245"/>
      <c r="G33" s="245"/>
      <c r="H33" s="245"/>
    </row>
    <row r="34" spans="1:8" ht="15" customHeight="1" x14ac:dyDescent="0.35"/>
    <row r="35" spans="1:8" ht="14.5" hidden="1" customHeight="1" x14ac:dyDescent="0.35"/>
    <row r="36" spans="1:8" ht="14.5" hidden="1" customHeight="1" x14ac:dyDescent="0.35"/>
  </sheetData>
  <sheetProtection algorithmName="SHA-512" hashValue="rK0mUoZP+8ynA6Fztp3Lzfr6HlGifFFeAvWzcFKn/kePjYBpVMTyKuu2B2oClqx0c0t8QYppkmTOdhoFbbopZw==" saltValue="wviWKpYCYiYl6r536nWAfA==" spinCount="100000" sheet="1" objects="1" scenarios="1" selectLockedCells="1" selectUnlockedCells="1"/>
  <mergeCells count="7">
    <mergeCell ref="B2:H2"/>
    <mergeCell ref="A3:H3"/>
    <mergeCell ref="B31:H31"/>
    <mergeCell ref="B33:H33"/>
    <mergeCell ref="B4:C27"/>
    <mergeCell ref="E4:H27"/>
    <mergeCell ref="B29:H29"/>
  </mergeCells>
  <printOptions horizontalCentered="1"/>
  <pageMargins left="0.19685039370078741" right="0.19685039370078741" top="1.79375" bottom="0.31496062992125984" header="0.31496062992125984" footer="0.31496062992125984"/>
  <pageSetup paperSize="9" scale="70" orientation="landscape" r:id="rId1"/>
  <headerFooter scaleWithDoc="0">
    <oddHeader>&amp;L&amp;"Arial Narrow,Fet"&amp;12&amp;G</oddHeader>
  </headerFooter>
  <legacyDrawingHF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
  <dimension ref="B2:F102"/>
  <sheetViews>
    <sheetView showGridLines="0" zoomScale="70" zoomScaleNormal="70" workbookViewId="0"/>
  </sheetViews>
  <sheetFormatPr defaultRowHeight="14.5" x14ac:dyDescent="0.35"/>
  <sheetData>
    <row r="2" spans="2:6" x14ac:dyDescent="0.35">
      <c r="B2" t="s">
        <v>69</v>
      </c>
      <c r="F2" t="s">
        <v>70</v>
      </c>
    </row>
    <row r="3" spans="2:6" x14ac:dyDescent="0.35">
      <c r="B3" t="s">
        <v>33</v>
      </c>
      <c r="F3" t="s">
        <v>71</v>
      </c>
    </row>
    <row r="4" spans="2:6" x14ac:dyDescent="0.35">
      <c r="B4" t="s">
        <v>72</v>
      </c>
      <c r="F4" t="s">
        <v>32</v>
      </c>
    </row>
    <row r="5" spans="2:6" x14ac:dyDescent="0.35">
      <c r="B5" t="s">
        <v>249</v>
      </c>
      <c r="F5" t="s">
        <v>34</v>
      </c>
    </row>
    <row r="6" spans="2:6" x14ac:dyDescent="0.35">
      <c r="B6" t="s">
        <v>73</v>
      </c>
      <c r="F6" t="s">
        <v>75</v>
      </c>
    </row>
    <row r="7" spans="2:6" x14ac:dyDescent="0.35">
      <c r="B7" t="s">
        <v>74</v>
      </c>
      <c r="F7" t="s">
        <v>77</v>
      </c>
    </row>
    <row r="8" spans="2:6" x14ac:dyDescent="0.35">
      <c r="B8" t="s">
        <v>76</v>
      </c>
      <c r="F8" t="s">
        <v>79</v>
      </c>
    </row>
    <row r="9" spans="2:6" x14ac:dyDescent="0.35">
      <c r="B9" t="s">
        <v>78</v>
      </c>
      <c r="F9" t="s">
        <v>81</v>
      </c>
    </row>
    <row r="10" spans="2:6" x14ac:dyDescent="0.35">
      <c r="B10" t="s">
        <v>80</v>
      </c>
      <c r="F10" t="s">
        <v>83</v>
      </c>
    </row>
    <row r="11" spans="2:6" x14ac:dyDescent="0.35">
      <c r="B11" t="s">
        <v>82</v>
      </c>
      <c r="F11" t="s">
        <v>84</v>
      </c>
    </row>
    <row r="12" spans="2:6" x14ac:dyDescent="0.35">
      <c r="F12" t="s">
        <v>85</v>
      </c>
    </row>
    <row r="13" spans="2:6" x14ac:dyDescent="0.35">
      <c r="F13" t="s">
        <v>86</v>
      </c>
    </row>
    <row r="14" spans="2:6" x14ac:dyDescent="0.35">
      <c r="F14" t="s">
        <v>87</v>
      </c>
    </row>
    <row r="15" spans="2:6" x14ac:dyDescent="0.35">
      <c r="F15" t="s">
        <v>88</v>
      </c>
    </row>
    <row r="16" spans="2:6" x14ac:dyDescent="0.35">
      <c r="F16" t="s">
        <v>89</v>
      </c>
    </row>
    <row r="17" spans="6:6" x14ac:dyDescent="0.35">
      <c r="F17" t="s">
        <v>90</v>
      </c>
    </row>
    <row r="18" spans="6:6" x14ac:dyDescent="0.35">
      <c r="F18" t="s">
        <v>91</v>
      </c>
    </row>
    <row r="19" spans="6:6" x14ac:dyDescent="0.35">
      <c r="F19" t="s">
        <v>92</v>
      </c>
    </row>
    <row r="20" spans="6:6" x14ac:dyDescent="0.35">
      <c r="F20" t="s">
        <v>93</v>
      </c>
    </row>
    <row r="21" spans="6:6" x14ac:dyDescent="0.35">
      <c r="F21" t="s">
        <v>94</v>
      </c>
    </row>
    <row r="22" spans="6:6" x14ac:dyDescent="0.35">
      <c r="F22" t="s">
        <v>95</v>
      </c>
    </row>
    <row r="23" spans="6:6" x14ac:dyDescent="0.35">
      <c r="F23" t="s">
        <v>96</v>
      </c>
    </row>
    <row r="24" spans="6:6" x14ac:dyDescent="0.35">
      <c r="F24" t="s">
        <v>97</v>
      </c>
    </row>
    <row r="25" spans="6:6" x14ac:dyDescent="0.35">
      <c r="F25" t="s">
        <v>98</v>
      </c>
    </row>
    <row r="26" spans="6:6" x14ac:dyDescent="0.35">
      <c r="F26" t="s">
        <v>99</v>
      </c>
    </row>
    <row r="27" spans="6:6" x14ac:dyDescent="0.35">
      <c r="F27" t="s">
        <v>100</v>
      </c>
    </row>
    <row r="28" spans="6:6" x14ac:dyDescent="0.35">
      <c r="F28" t="s">
        <v>101</v>
      </c>
    </row>
    <row r="29" spans="6:6" x14ac:dyDescent="0.35">
      <c r="F29" t="s">
        <v>102</v>
      </c>
    </row>
    <row r="30" spans="6:6" x14ac:dyDescent="0.35">
      <c r="F30" t="s">
        <v>103</v>
      </c>
    </row>
    <row r="31" spans="6:6" x14ac:dyDescent="0.35">
      <c r="F31" t="s">
        <v>104</v>
      </c>
    </row>
    <row r="32" spans="6:6" x14ac:dyDescent="0.35">
      <c r="F32" t="s">
        <v>105</v>
      </c>
    </row>
    <row r="33" spans="6:6" x14ac:dyDescent="0.35">
      <c r="F33" t="s">
        <v>106</v>
      </c>
    </row>
    <row r="34" spans="6:6" x14ac:dyDescent="0.35">
      <c r="F34" t="s">
        <v>107</v>
      </c>
    </row>
    <row r="35" spans="6:6" x14ac:dyDescent="0.35">
      <c r="F35" t="s">
        <v>108</v>
      </c>
    </row>
    <row r="36" spans="6:6" x14ac:dyDescent="0.35">
      <c r="F36" t="s">
        <v>109</v>
      </c>
    </row>
    <row r="37" spans="6:6" x14ac:dyDescent="0.35">
      <c r="F37" t="s">
        <v>110</v>
      </c>
    </row>
    <row r="38" spans="6:6" x14ac:dyDescent="0.35">
      <c r="F38" t="s">
        <v>111</v>
      </c>
    </row>
    <row r="39" spans="6:6" x14ac:dyDescent="0.35">
      <c r="F39" t="s">
        <v>112</v>
      </c>
    </row>
    <row r="40" spans="6:6" x14ac:dyDescent="0.35">
      <c r="F40" t="s">
        <v>113</v>
      </c>
    </row>
    <row r="41" spans="6:6" x14ac:dyDescent="0.35">
      <c r="F41" t="s">
        <v>114</v>
      </c>
    </row>
    <row r="42" spans="6:6" x14ac:dyDescent="0.35">
      <c r="F42" t="s">
        <v>115</v>
      </c>
    </row>
    <row r="43" spans="6:6" x14ac:dyDescent="0.35">
      <c r="F43" t="s">
        <v>116</v>
      </c>
    </row>
    <row r="44" spans="6:6" x14ac:dyDescent="0.35">
      <c r="F44" t="s">
        <v>117</v>
      </c>
    </row>
    <row r="45" spans="6:6" x14ac:dyDescent="0.35">
      <c r="F45" t="s">
        <v>118</v>
      </c>
    </row>
    <row r="46" spans="6:6" x14ac:dyDescent="0.35">
      <c r="F46" t="s">
        <v>119</v>
      </c>
    </row>
    <row r="47" spans="6:6" x14ac:dyDescent="0.35">
      <c r="F47" t="s">
        <v>120</v>
      </c>
    </row>
    <row r="48" spans="6:6" x14ac:dyDescent="0.35">
      <c r="F48" t="s">
        <v>121</v>
      </c>
    </row>
    <row r="49" spans="6:6" x14ac:dyDescent="0.35">
      <c r="F49" t="s">
        <v>122</v>
      </c>
    </row>
    <row r="50" spans="6:6" x14ac:dyDescent="0.35">
      <c r="F50" t="s">
        <v>123</v>
      </c>
    </row>
    <row r="51" spans="6:6" x14ac:dyDescent="0.35">
      <c r="F51" t="s">
        <v>124</v>
      </c>
    </row>
    <row r="52" spans="6:6" x14ac:dyDescent="0.35">
      <c r="F52" t="s">
        <v>125</v>
      </c>
    </row>
    <row r="53" spans="6:6" x14ac:dyDescent="0.35">
      <c r="F53" t="s">
        <v>126</v>
      </c>
    </row>
    <row r="54" spans="6:6" x14ac:dyDescent="0.35">
      <c r="F54" t="s">
        <v>127</v>
      </c>
    </row>
    <row r="55" spans="6:6" x14ac:dyDescent="0.35">
      <c r="F55" t="s">
        <v>128</v>
      </c>
    </row>
    <row r="56" spans="6:6" x14ac:dyDescent="0.35">
      <c r="F56" t="s">
        <v>129</v>
      </c>
    </row>
    <row r="57" spans="6:6" x14ac:dyDescent="0.35">
      <c r="F57" t="s">
        <v>130</v>
      </c>
    </row>
    <row r="58" spans="6:6" x14ac:dyDescent="0.35">
      <c r="F58" t="s">
        <v>131</v>
      </c>
    </row>
    <row r="59" spans="6:6" x14ac:dyDescent="0.35">
      <c r="F59" t="s">
        <v>132</v>
      </c>
    </row>
    <row r="60" spans="6:6" x14ac:dyDescent="0.35">
      <c r="F60" t="s">
        <v>133</v>
      </c>
    </row>
    <row r="61" spans="6:6" x14ac:dyDescent="0.35">
      <c r="F61" t="s">
        <v>134</v>
      </c>
    </row>
    <row r="62" spans="6:6" x14ac:dyDescent="0.35">
      <c r="F62" t="s">
        <v>135</v>
      </c>
    </row>
    <row r="63" spans="6:6" x14ac:dyDescent="0.35">
      <c r="F63" t="s">
        <v>136</v>
      </c>
    </row>
    <row r="64" spans="6:6" x14ac:dyDescent="0.35">
      <c r="F64" t="s">
        <v>137</v>
      </c>
    </row>
    <row r="65" spans="6:6" x14ac:dyDescent="0.35">
      <c r="F65" t="s">
        <v>138</v>
      </c>
    </row>
    <row r="66" spans="6:6" x14ac:dyDescent="0.35">
      <c r="F66" t="s">
        <v>139</v>
      </c>
    </row>
    <row r="67" spans="6:6" x14ac:dyDescent="0.35">
      <c r="F67" t="s">
        <v>140</v>
      </c>
    </row>
    <row r="68" spans="6:6" x14ac:dyDescent="0.35">
      <c r="F68" t="s">
        <v>141</v>
      </c>
    </row>
    <row r="69" spans="6:6" x14ac:dyDescent="0.35">
      <c r="F69" t="s">
        <v>142</v>
      </c>
    </row>
    <row r="70" spans="6:6" x14ac:dyDescent="0.35">
      <c r="F70" t="s">
        <v>143</v>
      </c>
    </row>
    <row r="71" spans="6:6" x14ac:dyDescent="0.35">
      <c r="F71" t="s">
        <v>144</v>
      </c>
    </row>
    <row r="72" spans="6:6" x14ac:dyDescent="0.35">
      <c r="F72" t="s">
        <v>145</v>
      </c>
    </row>
    <row r="73" spans="6:6" x14ac:dyDescent="0.35">
      <c r="F73" t="s">
        <v>146</v>
      </c>
    </row>
    <row r="74" spans="6:6" x14ac:dyDescent="0.35">
      <c r="F74" t="s">
        <v>147</v>
      </c>
    </row>
    <row r="75" spans="6:6" x14ac:dyDescent="0.35">
      <c r="F75" t="s">
        <v>148</v>
      </c>
    </row>
    <row r="76" spans="6:6" x14ac:dyDescent="0.35">
      <c r="F76" t="s">
        <v>149</v>
      </c>
    </row>
    <row r="77" spans="6:6" x14ac:dyDescent="0.35">
      <c r="F77" t="s">
        <v>150</v>
      </c>
    </row>
    <row r="78" spans="6:6" x14ac:dyDescent="0.35">
      <c r="F78" t="s">
        <v>151</v>
      </c>
    </row>
    <row r="79" spans="6:6" x14ac:dyDescent="0.35">
      <c r="F79" t="s">
        <v>152</v>
      </c>
    </row>
    <row r="80" spans="6:6" x14ac:dyDescent="0.35">
      <c r="F80" t="s">
        <v>153</v>
      </c>
    </row>
    <row r="81" spans="6:6" x14ac:dyDescent="0.35">
      <c r="F81" t="s">
        <v>154</v>
      </c>
    </row>
    <row r="82" spans="6:6" x14ac:dyDescent="0.35">
      <c r="F82" t="s">
        <v>155</v>
      </c>
    </row>
    <row r="83" spans="6:6" x14ac:dyDescent="0.35">
      <c r="F83" t="s">
        <v>156</v>
      </c>
    </row>
    <row r="84" spans="6:6" x14ac:dyDescent="0.35">
      <c r="F84" t="s">
        <v>157</v>
      </c>
    </row>
    <row r="85" spans="6:6" x14ac:dyDescent="0.35">
      <c r="F85" t="s">
        <v>158</v>
      </c>
    </row>
    <row r="86" spans="6:6" x14ac:dyDescent="0.35">
      <c r="F86" t="s">
        <v>159</v>
      </c>
    </row>
    <row r="87" spans="6:6" x14ac:dyDescent="0.35">
      <c r="F87" t="s">
        <v>160</v>
      </c>
    </row>
    <row r="88" spans="6:6" x14ac:dyDescent="0.35">
      <c r="F88" t="s">
        <v>161</v>
      </c>
    </row>
    <row r="89" spans="6:6" x14ac:dyDescent="0.35">
      <c r="F89" t="s">
        <v>162</v>
      </c>
    </row>
    <row r="90" spans="6:6" x14ac:dyDescent="0.35">
      <c r="F90" t="s">
        <v>163</v>
      </c>
    </row>
    <row r="91" spans="6:6" x14ac:dyDescent="0.35">
      <c r="F91" t="s">
        <v>164</v>
      </c>
    </row>
    <row r="92" spans="6:6" x14ac:dyDescent="0.35">
      <c r="F92" t="s">
        <v>165</v>
      </c>
    </row>
    <row r="93" spans="6:6" x14ac:dyDescent="0.35">
      <c r="F93" t="s">
        <v>166</v>
      </c>
    </row>
    <row r="94" spans="6:6" x14ac:dyDescent="0.35">
      <c r="F94" t="s">
        <v>167</v>
      </c>
    </row>
    <row r="95" spans="6:6" x14ac:dyDescent="0.35">
      <c r="F95" t="s">
        <v>168</v>
      </c>
    </row>
    <row r="96" spans="6:6" x14ac:dyDescent="0.35">
      <c r="F96" t="s">
        <v>169</v>
      </c>
    </row>
    <row r="97" spans="6:6" x14ac:dyDescent="0.35">
      <c r="F97" t="s">
        <v>170</v>
      </c>
    </row>
    <row r="98" spans="6:6" x14ac:dyDescent="0.35">
      <c r="F98" t="s">
        <v>171</v>
      </c>
    </row>
    <row r="99" spans="6:6" x14ac:dyDescent="0.35">
      <c r="F99" t="s">
        <v>172</v>
      </c>
    </row>
    <row r="100" spans="6:6" x14ac:dyDescent="0.35">
      <c r="F100" t="s">
        <v>173</v>
      </c>
    </row>
    <row r="101" spans="6:6" x14ac:dyDescent="0.35">
      <c r="F101" t="s">
        <v>174</v>
      </c>
    </row>
    <row r="102" spans="6:6" x14ac:dyDescent="0.35">
      <c r="F102" t="s">
        <v>175</v>
      </c>
    </row>
  </sheetData>
  <sheetProtection selectLockedCells="1" selectUnlockedCells="1"/>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68B15-9A8F-4BAF-8798-3736ED43589B}">
  <dimension ref="A1:A3"/>
  <sheetViews>
    <sheetView workbookViewId="0"/>
  </sheetViews>
  <sheetFormatPr defaultRowHeight="14.5" x14ac:dyDescent="0.35"/>
  <sheetData>
    <row r="1" spans="1:1" x14ac:dyDescent="0.35">
      <c r="A1" s="186" t="s">
        <v>176</v>
      </c>
    </row>
    <row r="2" spans="1:1" x14ac:dyDescent="0.35">
      <c r="A2" s="186" t="s">
        <v>177</v>
      </c>
    </row>
    <row r="3" spans="1:1" x14ac:dyDescent="0.35">
      <c r="A3" s="186" t="s">
        <v>178</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4">
    <tabColor theme="4" tint="0.39997558519241921"/>
  </sheetPr>
  <dimension ref="B1:R162"/>
  <sheetViews>
    <sheetView showGridLines="0" showRowColHeaders="0" showZeros="0" zoomScale="85" zoomScaleNormal="85" workbookViewId="0"/>
  </sheetViews>
  <sheetFormatPr defaultColWidth="0" defaultRowHeight="15" customHeight="1" zeroHeight="1" x14ac:dyDescent="0.35"/>
  <cols>
    <col min="1" max="1" width="1.54296875" customWidth="1"/>
    <col min="2" max="3" width="25.81640625" customWidth="1"/>
    <col min="4" max="4" width="8" customWidth="1"/>
    <col min="5" max="15" width="7.1796875" customWidth="1"/>
    <col min="16" max="16" width="8.81640625" customWidth="1"/>
    <col min="17" max="17" width="9.1796875" customWidth="1"/>
    <col min="18" max="18" width="11.54296875" customWidth="1"/>
    <col min="19" max="16364" width="9.1796875" customWidth="1"/>
    <col min="16365" max="16384" width="2.1796875" customWidth="1"/>
  </cols>
  <sheetData>
    <row r="1" spans="2:18" ht="18.5" x14ac:dyDescent="0.45">
      <c r="B1" s="107" t="s">
        <v>235</v>
      </c>
      <c r="C1" s="54">
        <f>Year</f>
        <v>2025</v>
      </c>
      <c r="D1" s="40"/>
      <c r="E1" s="40"/>
      <c r="F1" s="40"/>
      <c r="G1" s="33" t="s">
        <v>36</v>
      </c>
      <c r="I1" s="40">
        <f>Member</f>
        <v>0</v>
      </c>
      <c r="J1" s="40"/>
      <c r="K1" s="40"/>
      <c r="L1" s="40"/>
      <c r="M1" s="40"/>
      <c r="N1" s="33"/>
      <c r="O1" s="40"/>
    </row>
    <row r="2" spans="2:18" ht="12.75" customHeight="1" x14ac:dyDescent="0.35">
      <c r="B2" s="34"/>
      <c r="C2" s="41">
        <f>C37</f>
        <v>0</v>
      </c>
      <c r="D2" s="42"/>
      <c r="E2" s="42"/>
      <c r="F2" s="42"/>
      <c r="G2" s="42"/>
      <c r="H2" s="42"/>
      <c r="I2" s="42"/>
      <c r="J2" s="42"/>
      <c r="K2" s="42"/>
      <c r="L2" s="42"/>
      <c r="M2" s="42"/>
      <c r="N2" s="42"/>
      <c r="O2" s="42"/>
      <c r="P2" s="40"/>
    </row>
    <row r="3" spans="2:18" ht="31.5" customHeight="1" x14ac:dyDescent="0.35">
      <c r="B3" s="126" t="s">
        <v>37</v>
      </c>
      <c r="C3" s="127"/>
      <c r="D3" s="137" t="s">
        <v>236</v>
      </c>
      <c r="E3" s="137" t="s">
        <v>237</v>
      </c>
      <c r="F3" s="137" t="s">
        <v>238</v>
      </c>
      <c r="G3" s="137" t="s">
        <v>239</v>
      </c>
      <c r="H3" s="137" t="s">
        <v>61</v>
      </c>
      <c r="I3" s="137" t="s">
        <v>240</v>
      </c>
      <c r="J3" s="137" t="s">
        <v>241</v>
      </c>
      <c r="K3" s="137" t="s">
        <v>242</v>
      </c>
      <c r="L3" s="137" t="s">
        <v>243</v>
      </c>
      <c r="M3" s="137" t="s">
        <v>244</v>
      </c>
      <c r="N3" s="137" t="s">
        <v>245</v>
      </c>
      <c r="O3" s="137" t="s">
        <v>246</v>
      </c>
      <c r="P3" s="128" t="s">
        <v>38</v>
      </c>
      <c r="Q3" s="164" t="s">
        <v>39</v>
      </c>
      <c r="R3" s="202" t="s">
        <v>252</v>
      </c>
    </row>
    <row r="4" spans="2:18" ht="13" customHeight="1" x14ac:dyDescent="0.35">
      <c r="B4" s="296" t="str">
        <f>IFERROR(Project.01&amp;" "&amp;WP.01&amp;" "&amp;Contract.01&amp;" "&amp;Type.01&amp;" "&amp;Activity.01," ")</f>
        <v xml:space="preserve">    </v>
      </c>
      <c r="C4" s="296"/>
      <c r="D4" s="113">
        <f>JanTot.01</f>
        <v>0</v>
      </c>
      <c r="E4" s="113">
        <f>FebTot.01</f>
        <v>0</v>
      </c>
      <c r="F4" s="113">
        <f>MarTot.01</f>
        <v>0</v>
      </c>
      <c r="G4" s="113">
        <f>AprTot.01</f>
        <v>0</v>
      </c>
      <c r="H4" s="113">
        <f>MayTot.01</f>
        <v>0</v>
      </c>
      <c r="I4" s="113">
        <f>JunTot.01</f>
        <v>0</v>
      </c>
      <c r="J4" s="113">
        <f>JulTot.01</f>
        <v>0</v>
      </c>
      <c r="K4" s="113">
        <f>AugTot.01</f>
        <v>0</v>
      </c>
      <c r="L4" s="113">
        <f>SepTot.01</f>
        <v>0</v>
      </c>
      <c r="M4" s="113">
        <f>OctTot.01</f>
        <v>0</v>
      </c>
      <c r="N4" s="113">
        <f>NovTot.01</f>
        <v>0</v>
      </c>
      <c r="O4" s="113">
        <f>DecTot.01</f>
        <v>0</v>
      </c>
      <c r="P4" s="114">
        <f>SUM(D4:O4)</f>
        <v>0</v>
      </c>
      <c r="Q4" s="165">
        <f>P4/8</f>
        <v>0</v>
      </c>
      <c r="R4" s="115" t="str">
        <f>IFERROR(SUM(D4:O4)/$P$26,"")</f>
        <v/>
      </c>
    </row>
    <row r="5" spans="2:18" ht="13" customHeight="1" x14ac:dyDescent="0.35">
      <c r="B5" s="296" t="str">
        <f>IFERROR(Project.02&amp;" "&amp;WP.02&amp;" "&amp;Contract.02&amp;" "&amp;Type.02&amp;" "&amp;Activity.02," ")</f>
        <v xml:space="preserve">    </v>
      </c>
      <c r="C5" s="296"/>
      <c r="D5" s="113">
        <f>JanTot.02</f>
        <v>0</v>
      </c>
      <c r="E5" s="113">
        <f>FebTot.02</f>
        <v>0</v>
      </c>
      <c r="F5" s="113">
        <f>MarTot.02</f>
        <v>0</v>
      </c>
      <c r="G5" s="113">
        <f>AprTot.02</f>
        <v>0</v>
      </c>
      <c r="H5" s="113">
        <f>MayTot.02</f>
        <v>0</v>
      </c>
      <c r="I5" s="113">
        <f>JunTot.02</f>
        <v>0</v>
      </c>
      <c r="J5" s="113">
        <f>JulTot.02</f>
        <v>0</v>
      </c>
      <c r="K5" s="113">
        <f>AugTot.02</f>
        <v>0</v>
      </c>
      <c r="L5" s="113">
        <f>SepTot.02</f>
        <v>0</v>
      </c>
      <c r="M5" s="113">
        <f>OctTot.02</f>
        <v>0</v>
      </c>
      <c r="N5" s="113">
        <f>NovTot.02</f>
        <v>0</v>
      </c>
      <c r="O5" s="113">
        <f>DecTot.02</f>
        <v>0</v>
      </c>
      <c r="P5" s="114">
        <f t="shared" ref="P5:P23" si="0">SUM(D5:O5)</f>
        <v>0</v>
      </c>
      <c r="Q5" s="165">
        <f t="shared" ref="Q5:Q24" si="1">P5/8</f>
        <v>0</v>
      </c>
      <c r="R5" s="115" t="str">
        <f t="shared" ref="R5:R23" si="2">IFERROR(SUM(D5:O5)/$P$26,"")</f>
        <v/>
      </c>
    </row>
    <row r="6" spans="2:18" ht="13" customHeight="1" x14ac:dyDescent="0.35">
      <c r="B6" s="296" t="str">
        <f>IFERROR(Project.03&amp;" "&amp;WP.03&amp;" "&amp;Contract.03&amp;" "&amp;Type.03&amp;" "&amp;Activity.03," ")</f>
        <v xml:space="preserve">    </v>
      </c>
      <c r="C6" s="296"/>
      <c r="D6" s="113">
        <f>JanTot.03</f>
        <v>0</v>
      </c>
      <c r="E6" s="113">
        <f>FebTot.03</f>
        <v>0</v>
      </c>
      <c r="F6" s="113">
        <f>MarTot.03</f>
        <v>0</v>
      </c>
      <c r="G6" s="113">
        <f>AprTot.03</f>
        <v>0</v>
      </c>
      <c r="H6" s="113">
        <f>MayTot.03</f>
        <v>0</v>
      </c>
      <c r="I6" s="113">
        <f>JunTot.03</f>
        <v>0</v>
      </c>
      <c r="J6" s="113">
        <f>JulTot.03</f>
        <v>0</v>
      </c>
      <c r="K6" s="113">
        <f>AugTot.03</f>
        <v>0</v>
      </c>
      <c r="L6" s="113">
        <f>SepTot.03</f>
        <v>0</v>
      </c>
      <c r="M6" s="113">
        <f>OctTot.03</f>
        <v>0</v>
      </c>
      <c r="N6" s="113">
        <f>NovTot.03</f>
        <v>0</v>
      </c>
      <c r="O6" s="113">
        <f>DecTot.03</f>
        <v>0</v>
      </c>
      <c r="P6" s="114">
        <f t="shared" si="0"/>
        <v>0</v>
      </c>
      <c r="Q6" s="165">
        <f t="shared" si="1"/>
        <v>0</v>
      </c>
      <c r="R6" s="115" t="str">
        <f t="shared" si="2"/>
        <v/>
      </c>
    </row>
    <row r="7" spans="2:18" ht="13" customHeight="1" x14ac:dyDescent="0.35">
      <c r="B7" s="296" t="str">
        <f>IFERROR(Project.04&amp;" "&amp;WP.04&amp;" "&amp;Contract.04&amp;" "&amp;Type.04&amp;" "&amp;Activity.04," ")</f>
        <v xml:space="preserve">    </v>
      </c>
      <c r="C7" s="296"/>
      <c r="D7" s="113">
        <f>JanTot.04</f>
        <v>0</v>
      </c>
      <c r="E7" s="113">
        <f>FebTot.04</f>
        <v>0</v>
      </c>
      <c r="F7" s="113">
        <f>MarTot.04</f>
        <v>0</v>
      </c>
      <c r="G7" s="113">
        <f>AprTot.04</f>
        <v>0</v>
      </c>
      <c r="H7" s="113">
        <f>MayTot.04</f>
        <v>0</v>
      </c>
      <c r="I7" s="113">
        <f>JunTot.04</f>
        <v>0</v>
      </c>
      <c r="J7" s="113">
        <f>JulTot.04</f>
        <v>0</v>
      </c>
      <c r="K7" s="113">
        <f>AugTot.04</f>
        <v>0</v>
      </c>
      <c r="L7" s="113">
        <f>SepTot.04</f>
        <v>0</v>
      </c>
      <c r="M7" s="113">
        <f>OctTot.04</f>
        <v>0</v>
      </c>
      <c r="N7" s="113">
        <f>NovTot.04</f>
        <v>0</v>
      </c>
      <c r="O7" s="113">
        <f>DecTot.04</f>
        <v>0</v>
      </c>
      <c r="P7" s="114">
        <f t="shared" si="0"/>
        <v>0</v>
      </c>
      <c r="Q7" s="165">
        <f t="shared" si="1"/>
        <v>0</v>
      </c>
      <c r="R7" s="115" t="str">
        <f t="shared" si="2"/>
        <v/>
      </c>
    </row>
    <row r="8" spans="2:18" ht="13" customHeight="1" x14ac:dyDescent="0.35">
      <c r="B8" s="296" t="str">
        <f>IFERROR(Project.05&amp;" "&amp;WP.05&amp;" "&amp;Contract.05&amp;" "&amp;Type.05&amp;" "&amp;Activity.05," ")</f>
        <v xml:space="preserve">    </v>
      </c>
      <c r="C8" s="296"/>
      <c r="D8" s="113">
        <f>JanTot.05</f>
        <v>0</v>
      </c>
      <c r="E8" s="113">
        <f>FebTot.05</f>
        <v>0</v>
      </c>
      <c r="F8" s="113">
        <f>MarTot.05</f>
        <v>0</v>
      </c>
      <c r="G8" s="113">
        <f>AprTot.05</f>
        <v>0</v>
      </c>
      <c r="H8" s="113">
        <f>MayTot.05</f>
        <v>0</v>
      </c>
      <c r="I8" s="113">
        <f>JunTot.05</f>
        <v>0</v>
      </c>
      <c r="J8" s="113">
        <f>JulTot.05</f>
        <v>0</v>
      </c>
      <c r="K8" s="113">
        <f>AugTot.05</f>
        <v>0</v>
      </c>
      <c r="L8" s="113">
        <f>SepTot.05</f>
        <v>0</v>
      </c>
      <c r="M8" s="113">
        <f>OctTot.05</f>
        <v>0</v>
      </c>
      <c r="N8" s="113">
        <f>NovTot.05</f>
        <v>0</v>
      </c>
      <c r="O8" s="113">
        <f>DecTot.05</f>
        <v>0</v>
      </c>
      <c r="P8" s="114">
        <f t="shared" si="0"/>
        <v>0</v>
      </c>
      <c r="Q8" s="165">
        <f t="shared" si="1"/>
        <v>0</v>
      </c>
      <c r="R8" s="115" t="str">
        <f t="shared" si="2"/>
        <v/>
      </c>
    </row>
    <row r="9" spans="2:18" ht="13" customHeight="1" x14ac:dyDescent="0.35">
      <c r="B9" s="296" t="str">
        <f>IFERROR(Project.06&amp;" "&amp;WP.06&amp;" "&amp;Contract.06&amp;" "&amp;Type.06&amp;" "&amp;Activity.06," ")</f>
        <v xml:space="preserve">    </v>
      </c>
      <c r="C9" s="296"/>
      <c r="D9" s="113">
        <f>JanTot.06</f>
        <v>0</v>
      </c>
      <c r="E9" s="113">
        <f>FebTot.06</f>
        <v>0</v>
      </c>
      <c r="F9" s="113">
        <f>MarTot.06</f>
        <v>0</v>
      </c>
      <c r="G9" s="113">
        <f>AprTot.06</f>
        <v>0</v>
      </c>
      <c r="H9" s="113">
        <f>MayTot.06</f>
        <v>0</v>
      </c>
      <c r="I9" s="113">
        <f>JunTot.06</f>
        <v>0</v>
      </c>
      <c r="J9" s="113">
        <f>JulTot.06</f>
        <v>0</v>
      </c>
      <c r="K9" s="113">
        <f>AugTot.06</f>
        <v>0</v>
      </c>
      <c r="L9" s="113">
        <f>SepTot.06</f>
        <v>0</v>
      </c>
      <c r="M9" s="113">
        <f>OctTot.06</f>
        <v>0</v>
      </c>
      <c r="N9" s="113">
        <f>NovTot.06</f>
        <v>0</v>
      </c>
      <c r="O9" s="113">
        <f>DecTot.06</f>
        <v>0</v>
      </c>
      <c r="P9" s="114">
        <f t="shared" si="0"/>
        <v>0</v>
      </c>
      <c r="Q9" s="165">
        <f t="shared" si="1"/>
        <v>0</v>
      </c>
      <c r="R9" s="115" t="str">
        <f t="shared" si="2"/>
        <v/>
      </c>
    </row>
    <row r="10" spans="2:18" ht="13" customHeight="1" x14ac:dyDescent="0.35">
      <c r="B10" s="296" t="str">
        <f>IFERROR(Project.07&amp;" "&amp;WP.07&amp;" "&amp;Contract.07&amp;" "&amp;Type.07&amp;" "&amp;Activity.07," ")</f>
        <v xml:space="preserve">    </v>
      </c>
      <c r="C10" s="296"/>
      <c r="D10" s="113">
        <f>JanTot.07</f>
        <v>0</v>
      </c>
      <c r="E10" s="113">
        <f>FebTot.07</f>
        <v>0</v>
      </c>
      <c r="F10" s="113">
        <f>MarTot.07</f>
        <v>0</v>
      </c>
      <c r="G10" s="113">
        <f>AprTot.07</f>
        <v>0</v>
      </c>
      <c r="H10" s="113">
        <f>MayTot.07</f>
        <v>0</v>
      </c>
      <c r="I10" s="113">
        <f>JunTot.07</f>
        <v>0</v>
      </c>
      <c r="J10" s="113">
        <f>JulTot.07</f>
        <v>0</v>
      </c>
      <c r="K10" s="113">
        <f>AugTot.07</f>
        <v>0</v>
      </c>
      <c r="L10" s="113">
        <f>SepTot.07</f>
        <v>0</v>
      </c>
      <c r="M10" s="113">
        <f>OctTot.07</f>
        <v>0</v>
      </c>
      <c r="N10" s="113">
        <f>NovTot.07</f>
        <v>0</v>
      </c>
      <c r="O10" s="113">
        <f>DecTot.07</f>
        <v>0</v>
      </c>
      <c r="P10" s="114">
        <f t="shared" si="0"/>
        <v>0</v>
      </c>
      <c r="Q10" s="165">
        <f t="shared" si="1"/>
        <v>0</v>
      </c>
      <c r="R10" s="115" t="str">
        <f t="shared" si="2"/>
        <v/>
      </c>
    </row>
    <row r="11" spans="2:18" ht="13" customHeight="1" x14ac:dyDescent="0.35">
      <c r="B11" s="296" t="str">
        <f>IFERROR(Project.08&amp;" "&amp;WP.08&amp;" "&amp;Contract.08&amp;" "&amp;Type.08&amp;" "&amp;Activity.08," ")</f>
        <v xml:space="preserve">    </v>
      </c>
      <c r="C11" s="296"/>
      <c r="D11" s="113">
        <f>JanTot.08</f>
        <v>0</v>
      </c>
      <c r="E11" s="113">
        <f>FebTot.08</f>
        <v>0</v>
      </c>
      <c r="F11" s="113">
        <f>MarTot.08</f>
        <v>0</v>
      </c>
      <c r="G11" s="113">
        <f>AprTot.08</f>
        <v>0</v>
      </c>
      <c r="H11" s="113">
        <f>MayTot.08</f>
        <v>0</v>
      </c>
      <c r="I11" s="113">
        <f>JunTot.08</f>
        <v>0</v>
      </c>
      <c r="J11" s="113">
        <f>JulTot.08</f>
        <v>0</v>
      </c>
      <c r="K11" s="113">
        <f>AugTot.08</f>
        <v>0</v>
      </c>
      <c r="L11" s="113">
        <f>SepTot.08</f>
        <v>0</v>
      </c>
      <c r="M11" s="113">
        <f>OctTot.08</f>
        <v>0</v>
      </c>
      <c r="N11" s="113">
        <f>NovTot.08</f>
        <v>0</v>
      </c>
      <c r="O11" s="113">
        <f>DecTot.08</f>
        <v>0</v>
      </c>
      <c r="P11" s="114">
        <f t="shared" si="0"/>
        <v>0</v>
      </c>
      <c r="Q11" s="165">
        <f t="shared" si="1"/>
        <v>0</v>
      </c>
      <c r="R11" s="115" t="str">
        <f t="shared" si="2"/>
        <v/>
      </c>
    </row>
    <row r="12" spans="2:18" ht="13" customHeight="1" x14ac:dyDescent="0.35">
      <c r="B12" s="296" t="str">
        <f>(Project.09&amp;" "&amp;WP.09&amp;" "&amp;Contract.09&amp;" "&amp;Type.09&amp;" "&amp;Activity.09)</f>
        <v xml:space="preserve">    </v>
      </c>
      <c r="C12" s="296"/>
      <c r="D12" s="113">
        <f>JanTot.09</f>
        <v>0</v>
      </c>
      <c r="E12" s="113">
        <f>FebTot.09</f>
        <v>0</v>
      </c>
      <c r="F12" s="113">
        <f>MarTot.09</f>
        <v>0</v>
      </c>
      <c r="G12" s="113">
        <f>AprTot.09</f>
        <v>0</v>
      </c>
      <c r="H12" s="113">
        <f>MayTot.09</f>
        <v>0</v>
      </c>
      <c r="I12" s="113">
        <f>JunTot.09</f>
        <v>0</v>
      </c>
      <c r="J12" s="113">
        <f>JulTot.09</f>
        <v>0</v>
      </c>
      <c r="K12" s="113">
        <f>AugTot.09</f>
        <v>0</v>
      </c>
      <c r="L12" s="113">
        <f>SepTot.09</f>
        <v>0</v>
      </c>
      <c r="M12" s="113">
        <f>OctTot.09</f>
        <v>0</v>
      </c>
      <c r="N12" s="113">
        <f>NovTot.09</f>
        <v>0</v>
      </c>
      <c r="O12" s="113">
        <f>DecTot.09</f>
        <v>0</v>
      </c>
      <c r="P12" s="114">
        <f t="shared" si="0"/>
        <v>0</v>
      </c>
      <c r="Q12" s="165">
        <f t="shared" si="1"/>
        <v>0</v>
      </c>
      <c r="R12" s="115" t="str">
        <f t="shared" si="2"/>
        <v/>
      </c>
    </row>
    <row r="13" spans="2:18" ht="13" customHeight="1" x14ac:dyDescent="0.35">
      <c r="B13" s="296" t="str">
        <f>IFERROR(Project.10&amp;" "&amp;WP.10&amp;" "&amp;Contract.10&amp;" "&amp;Type.10&amp;" "&amp;Activity.10," ")</f>
        <v xml:space="preserve">    </v>
      </c>
      <c r="C13" s="296"/>
      <c r="D13" s="113">
        <f>JanTot.10</f>
        <v>0</v>
      </c>
      <c r="E13" s="113">
        <f>FebTot.10</f>
        <v>0</v>
      </c>
      <c r="F13" s="113">
        <f>MarTot.10</f>
        <v>0</v>
      </c>
      <c r="G13" s="113">
        <f>AprTot.10</f>
        <v>0</v>
      </c>
      <c r="H13" s="113">
        <f>MayTot.10</f>
        <v>0</v>
      </c>
      <c r="I13" s="113">
        <f>JunTot.10</f>
        <v>0</v>
      </c>
      <c r="J13" s="113">
        <f>JulTot.10</f>
        <v>0</v>
      </c>
      <c r="K13" s="113">
        <f>AugTot.10</f>
        <v>0</v>
      </c>
      <c r="L13" s="113">
        <f>SepTot.10</f>
        <v>0</v>
      </c>
      <c r="M13" s="113">
        <f>OctTot.10</f>
        <v>0</v>
      </c>
      <c r="N13" s="113">
        <f>NovTot.10</f>
        <v>0</v>
      </c>
      <c r="O13" s="113">
        <f>DecTot.10</f>
        <v>0</v>
      </c>
      <c r="P13" s="114">
        <f t="shared" si="0"/>
        <v>0</v>
      </c>
      <c r="Q13" s="165">
        <f t="shared" si="1"/>
        <v>0</v>
      </c>
      <c r="R13" s="115" t="str">
        <f t="shared" si="2"/>
        <v/>
      </c>
    </row>
    <row r="14" spans="2:18" ht="13" customHeight="1" x14ac:dyDescent="0.35">
      <c r="B14" s="296" t="str">
        <f>IFERROR(Project.11&amp;" "&amp;WP.11&amp;" "&amp;Contract.11&amp;" "&amp;Type.11&amp;" "&amp;Activity.11," ")</f>
        <v xml:space="preserve">    </v>
      </c>
      <c r="C14" s="296"/>
      <c r="D14" s="113">
        <f>JanTot.11</f>
        <v>0</v>
      </c>
      <c r="E14" s="113">
        <f>FebTot.11</f>
        <v>0</v>
      </c>
      <c r="F14" s="113">
        <f>MarTot.11</f>
        <v>0</v>
      </c>
      <c r="G14" s="113">
        <f>AprTot.11</f>
        <v>0</v>
      </c>
      <c r="H14" s="113">
        <f>MayTot.11</f>
        <v>0</v>
      </c>
      <c r="I14" s="113">
        <f>JunTot.11</f>
        <v>0</v>
      </c>
      <c r="J14" s="113">
        <f>JulTot.11</f>
        <v>0</v>
      </c>
      <c r="K14" s="113">
        <f>AugTot.11</f>
        <v>0</v>
      </c>
      <c r="L14" s="113">
        <f>SepTot.11</f>
        <v>0</v>
      </c>
      <c r="M14" s="113">
        <f>OctTot.11</f>
        <v>0</v>
      </c>
      <c r="N14" s="113">
        <f>NovTot.11</f>
        <v>0</v>
      </c>
      <c r="O14" s="113">
        <f>DecTot.11</f>
        <v>0</v>
      </c>
      <c r="P14" s="114">
        <f t="shared" si="0"/>
        <v>0</v>
      </c>
      <c r="Q14" s="165">
        <f t="shared" si="1"/>
        <v>0</v>
      </c>
      <c r="R14" s="115" t="str">
        <f t="shared" si="2"/>
        <v/>
      </c>
    </row>
    <row r="15" spans="2:18" ht="13" customHeight="1" x14ac:dyDescent="0.35">
      <c r="B15" s="296" t="str">
        <f>IFERROR(Project.12&amp;" "&amp;WP.12&amp;" "&amp;Contract.12&amp;" "&amp;Type.12&amp;" "&amp;Activity.12," ")</f>
        <v xml:space="preserve">    </v>
      </c>
      <c r="C15" s="296"/>
      <c r="D15" s="113">
        <f>JanTot.12</f>
        <v>0</v>
      </c>
      <c r="E15" s="113">
        <f>FebTot.12</f>
        <v>0</v>
      </c>
      <c r="F15" s="113">
        <f>MarTot.12</f>
        <v>0</v>
      </c>
      <c r="G15" s="113">
        <f>AprTot.12</f>
        <v>0</v>
      </c>
      <c r="H15" s="113">
        <f>MayTot.12</f>
        <v>0</v>
      </c>
      <c r="I15" s="113">
        <f>JunTot.12</f>
        <v>0</v>
      </c>
      <c r="J15" s="113">
        <f>JulTot.12</f>
        <v>0</v>
      </c>
      <c r="K15" s="113">
        <f>AugTot.12</f>
        <v>0</v>
      </c>
      <c r="L15" s="113">
        <f>SepTot.12</f>
        <v>0</v>
      </c>
      <c r="M15" s="113">
        <f>OctTot.12</f>
        <v>0</v>
      </c>
      <c r="N15" s="113">
        <f>NovTot.12</f>
        <v>0</v>
      </c>
      <c r="O15" s="113">
        <f>DecTot.12</f>
        <v>0</v>
      </c>
      <c r="P15" s="114">
        <f t="shared" si="0"/>
        <v>0</v>
      </c>
      <c r="Q15" s="165">
        <f t="shared" si="1"/>
        <v>0</v>
      </c>
      <c r="R15" s="115" t="str">
        <f t="shared" si="2"/>
        <v/>
      </c>
    </row>
    <row r="16" spans="2:18" ht="13" customHeight="1" x14ac:dyDescent="0.35">
      <c r="B16" s="296" t="str">
        <f>IFERROR(Project.13&amp;" "&amp;WP.13&amp;" "&amp;Contract.13&amp;" "&amp;Type.13&amp;" "&amp;Activity.13," ")</f>
        <v xml:space="preserve">    </v>
      </c>
      <c r="C16" s="296"/>
      <c r="D16" s="116">
        <f>JanTot.13</f>
        <v>0</v>
      </c>
      <c r="E16" s="116">
        <f>FebTot.13</f>
        <v>0</v>
      </c>
      <c r="F16" s="116">
        <f>MarTot.13</f>
        <v>0</v>
      </c>
      <c r="G16" s="116">
        <f>AprTot.13</f>
        <v>0</v>
      </c>
      <c r="H16" s="116">
        <f>MayTot.13</f>
        <v>0</v>
      </c>
      <c r="I16" s="116">
        <f>JunTot.13</f>
        <v>0</v>
      </c>
      <c r="J16" s="116">
        <f>JulTot.13</f>
        <v>0</v>
      </c>
      <c r="K16" s="116">
        <f>AugTot.13</f>
        <v>0</v>
      </c>
      <c r="L16" s="116">
        <f>SepTot.13</f>
        <v>0</v>
      </c>
      <c r="M16" s="116">
        <f>OctTot.13</f>
        <v>0</v>
      </c>
      <c r="N16" s="116">
        <f>NovTot.13</f>
        <v>0</v>
      </c>
      <c r="O16" s="116">
        <f>DecTot.13</f>
        <v>0</v>
      </c>
      <c r="P16" s="114">
        <f t="shared" si="0"/>
        <v>0</v>
      </c>
      <c r="Q16" s="165">
        <f t="shared" si="1"/>
        <v>0</v>
      </c>
      <c r="R16" s="115" t="str">
        <f t="shared" si="2"/>
        <v/>
      </c>
    </row>
    <row r="17" spans="2:18" ht="13" customHeight="1" x14ac:dyDescent="0.35">
      <c r="B17" s="296" t="str">
        <f>IFERROR(Project.14&amp;" "&amp;WP.14&amp;" "&amp;Contract.14&amp;" "&amp;Type.14&amp;" "&amp;Activity.14," ")</f>
        <v xml:space="preserve">    </v>
      </c>
      <c r="C17" s="296"/>
      <c r="D17" s="116">
        <f>JanTot.14</f>
        <v>0</v>
      </c>
      <c r="E17" s="116">
        <f>FebTot.14</f>
        <v>0</v>
      </c>
      <c r="F17" s="116">
        <f>MarTot.14</f>
        <v>0</v>
      </c>
      <c r="G17" s="116">
        <f>AprTot.14</f>
        <v>0</v>
      </c>
      <c r="H17" s="116">
        <f>MayTot.14</f>
        <v>0</v>
      </c>
      <c r="I17" s="116">
        <f>JunTot.14</f>
        <v>0</v>
      </c>
      <c r="J17" s="116">
        <f>JulTot.14</f>
        <v>0</v>
      </c>
      <c r="K17" s="116">
        <f>AugTot.14</f>
        <v>0</v>
      </c>
      <c r="L17" s="116">
        <f>SepTot.14</f>
        <v>0</v>
      </c>
      <c r="M17" s="116">
        <f>OctTot.14</f>
        <v>0</v>
      </c>
      <c r="N17" s="116">
        <f>NovTot.14</f>
        <v>0</v>
      </c>
      <c r="O17" s="116">
        <f>DecTot.14</f>
        <v>0</v>
      </c>
      <c r="P17" s="114">
        <f t="shared" si="0"/>
        <v>0</v>
      </c>
      <c r="Q17" s="165">
        <f t="shared" si="1"/>
        <v>0</v>
      </c>
      <c r="R17" s="115" t="str">
        <f t="shared" si="2"/>
        <v/>
      </c>
    </row>
    <row r="18" spans="2:18" ht="13" customHeight="1" x14ac:dyDescent="0.35">
      <c r="B18" s="296" t="str">
        <f>IFERROR(Project.15&amp;" "&amp;WP.15&amp;" "&amp;Contract.15&amp;" "&amp;Type.15&amp;" "&amp;Activity.15," ")</f>
        <v xml:space="preserve">    </v>
      </c>
      <c r="C18" s="296"/>
      <c r="D18" s="113">
        <f>JanTot.15</f>
        <v>0</v>
      </c>
      <c r="E18" s="113">
        <f>FebTot.15</f>
        <v>0</v>
      </c>
      <c r="F18" s="113">
        <f>MarTot.15</f>
        <v>0</v>
      </c>
      <c r="G18" s="113">
        <f>AprTot.15</f>
        <v>0</v>
      </c>
      <c r="H18" s="113">
        <f>MayTot.15</f>
        <v>0</v>
      </c>
      <c r="I18" s="113">
        <f>JunTot.15</f>
        <v>0</v>
      </c>
      <c r="J18" s="113">
        <f>JulTot.15</f>
        <v>0</v>
      </c>
      <c r="K18" s="113">
        <f>AugTot.15</f>
        <v>0</v>
      </c>
      <c r="L18" s="113">
        <f>SepTot.15</f>
        <v>0</v>
      </c>
      <c r="M18" s="113">
        <f>OctTot.15</f>
        <v>0</v>
      </c>
      <c r="N18" s="113">
        <f>NovTot.15</f>
        <v>0</v>
      </c>
      <c r="O18" s="113">
        <f>DecTot.15</f>
        <v>0</v>
      </c>
      <c r="P18" s="114">
        <f t="shared" si="0"/>
        <v>0</v>
      </c>
      <c r="Q18" s="165">
        <f t="shared" si="1"/>
        <v>0</v>
      </c>
      <c r="R18" s="115" t="str">
        <f t="shared" si="2"/>
        <v/>
      </c>
    </row>
    <row r="19" spans="2:18" ht="13" customHeight="1" x14ac:dyDescent="0.35">
      <c r="B19" s="296" t="str">
        <f>IFERROR(Project.16&amp;" "&amp;WP.16&amp;" "&amp;Contract.16&amp;" "&amp;Type.16&amp;" "&amp;Activity.16," ")</f>
        <v xml:space="preserve">    </v>
      </c>
      <c r="C19" s="296"/>
      <c r="D19" s="113">
        <f>JanTot.16</f>
        <v>0</v>
      </c>
      <c r="E19" s="113">
        <f>FebTot.16</f>
        <v>0</v>
      </c>
      <c r="F19" s="113">
        <f>MarTot.16</f>
        <v>0</v>
      </c>
      <c r="G19" s="113">
        <f>AprTot.16</f>
        <v>0</v>
      </c>
      <c r="H19" s="113">
        <f>MayTot.16</f>
        <v>0</v>
      </c>
      <c r="I19" s="113">
        <f>JunTot.16</f>
        <v>0</v>
      </c>
      <c r="J19" s="113">
        <f>JulTot.16</f>
        <v>0</v>
      </c>
      <c r="K19" s="113">
        <f>AugTot.16</f>
        <v>0</v>
      </c>
      <c r="L19" s="113">
        <f>SepTot.16</f>
        <v>0</v>
      </c>
      <c r="M19" s="113">
        <f>OctTot.16</f>
        <v>0</v>
      </c>
      <c r="N19" s="113">
        <f>NovTot.16</f>
        <v>0</v>
      </c>
      <c r="O19" s="113">
        <f>DecTot.16</f>
        <v>0</v>
      </c>
      <c r="P19" s="114">
        <f t="shared" si="0"/>
        <v>0</v>
      </c>
      <c r="Q19" s="165">
        <f t="shared" si="1"/>
        <v>0</v>
      </c>
      <c r="R19" s="115" t="str">
        <f t="shared" si="2"/>
        <v/>
      </c>
    </row>
    <row r="20" spans="2:18" ht="13" customHeight="1" x14ac:dyDescent="0.35">
      <c r="B20" s="296" t="str">
        <f>IFERROR(Project.17&amp;" "&amp;WP.17&amp;" "&amp;Contract.17&amp;" "&amp;Type.17&amp;" "&amp;Activity.17," ")</f>
        <v xml:space="preserve">    </v>
      </c>
      <c r="C20" s="296"/>
      <c r="D20" s="113">
        <f>JanTot.17</f>
        <v>0</v>
      </c>
      <c r="E20" s="113">
        <f>FebTot.17</f>
        <v>0</v>
      </c>
      <c r="F20" s="113">
        <f>MarTot.17</f>
        <v>0</v>
      </c>
      <c r="G20" s="113">
        <f>AprTot.17</f>
        <v>0</v>
      </c>
      <c r="H20" s="113">
        <f>MayTot.17</f>
        <v>0</v>
      </c>
      <c r="I20" s="113">
        <f>JunTot.17</f>
        <v>0</v>
      </c>
      <c r="J20" s="113">
        <f>JulTot.17</f>
        <v>0</v>
      </c>
      <c r="K20" s="113">
        <f>AugTot.17</f>
        <v>0</v>
      </c>
      <c r="L20" s="113">
        <f>SepTot.17</f>
        <v>0</v>
      </c>
      <c r="M20" s="113">
        <f>OctTot.17</f>
        <v>0</v>
      </c>
      <c r="N20" s="113">
        <f>NovTot.17</f>
        <v>0</v>
      </c>
      <c r="O20" s="113">
        <f>DecTot.17</f>
        <v>0</v>
      </c>
      <c r="P20" s="114">
        <f t="shared" si="0"/>
        <v>0</v>
      </c>
      <c r="Q20" s="165">
        <f t="shared" si="1"/>
        <v>0</v>
      </c>
      <c r="R20" s="115" t="str">
        <f t="shared" si="2"/>
        <v/>
      </c>
    </row>
    <row r="21" spans="2:18" ht="13" customHeight="1" x14ac:dyDescent="0.35">
      <c r="B21" s="296" t="str">
        <f>IFERROR(Project.18&amp;" "&amp;WP.18&amp;" "&amp;Contract.18&amp;" "&amp;Type.18&amp;" "&amp;Activity.18," ")</f>
        <v xml:space="preserve">    </v>
      </c>
      <c r="C21" s="296"/>
      <c r="D21" s="113">
        <f>JanTot.18</f>
        <v>0</v>
      </c>
      <c r="E21" s="113">
        <f>FebTot.18</f>
        <v>0</v>
      </c>
      <c r="F21" s="113">
        <f>MarTot.18</f>
        <v>0</v>
      </c>
      <c r="G21" s="113">
        <f>AprTot.18</f>
        <v>0</v>
      </c>
      <c r="H21" s="113">
        <f>MayTot.18</f>
        <v>0</v>
      </c>
      <c r="I21" s="113">
        <f>JunTot.18</f>
        <v>0</v>
      </c>
      <c r="J21" s="113">
        <f>JulTot.18</f>
        <v>0</v>
      </c>
      <c r="K21" s="113">
        <f>AugTot.18</f>
        <v>0</v>
      </c>
      <c r="L21" s="113">
        <f>SepTot.18</f>
        <v>0</v>
      </c>
      <c r="M21" s="113">
        <f>OctTot.18</f>
        <v>0</v>
      </c>
      <c r="N21" s="113">
        <f>NovTot.18</f>
        <v>0</v>
      </c>
      <c r="O21" s="113">
        <f>DecTot.18</f>
        <v>0</v>
      </c>
      <c r="P21" s="114">
        <f t="shared" si="0"/>
        <v>0</v>
      </c>
      <c r="Q21" s="165">
        <f t="shared" si="1"/>
        <v>0</v>
      </c>
      <c r="R21" s="115" t="str">
        <f t="shared" si="2"/>
        <v/>
      </c>
    </row>
    <row r="22" spans="2:18" ht="13" customHeight="1" x14ac:dyDescent="0.35">
      <c r="B22" s="296" t="str">
        <f>IFERROR(Project.19&amp;" "&amp;WP.19&amp;" "&amp;Contract.19&amp;" "&amp;Type.19&amp;" "&amp;Activity.19," ")</f>
        <v xml:space="preserve">    </v>
      </c>
      <c r="C22" s="296"/>
      <c r="D22" s="113">
        <f>JanTot.19</f>
        <v>0</v>
      </c>
      <c r="E22" s="113">
        <f>FebTot.19</f>
        <v>0</v>
      </c>
      <c r="F22" s="113">
        <f>MarTot.19</f>
        <v>0</v>
      </c>
      <c r="G22" s="113">
        <f>AprTot.19</f>
        <v>0</v>
      </c>
      <c r="H22" s="113">
        <f>MayTot.19</f>
        <v>0</v>
      </c>
      <c r="I22" s="113">
        <f>JunTot.19</f>
        <v>0</v>
      </c>
      <c r="J22" s="113">
        <f>JulTot.19</f>
        <v>0</v>
      </c>
      <c r="K22" s="113">
        <f>AugTot.19</f>
        <v>0</v>
      </c>
      <c r="L22" s="113">
        <f>SepTot.19</f>
        <v>0</v>
      </c>
      <c r="M22" s="113">
        <f>OctTot.19</f>
        <v>0</v>
      </c>
      <c r="N22" s="113">
        <f>NovTot.19</f>
        <v>0</v>
      </c>
      <c r="O22" s="113">
        <f>DecTot.19</f>
        <v>0</v>
      </c>
      <c r="P22" s="114">
        <f t="shared" si="0"/>
        <v>0</v>
      </c>
      <c r="Q22" s="165">
        <f t="shared" si="1"/>
        <v>0</v>
      </c>
      <c r="R22" s="115" t="str">
        <f t="shared" si="2"/>
        <v/>
      </c>
    </row>
    <row r="23" spans="2:18" ht="13" customHeight="1" x14ac:dyDescent="0.35">
      <c r="B23" s="296"/>
      <c r="C23" s="296"/>
      <c r="D23" s="113">
        <f>JanTot.20</f>
        <v>0</v>
      </c>
      <c r="E23" s="113">
        <f>FebTot.20</f>
        <v>0</v>
      </c>
      <c r="F23" s="113">
        <f>MarTot.20</f>
        <v>0</v>
      </c>
      <c r="G23" s="113">
        <f>AprTot.20</f>
        <v>0</v>
      </c>
      <c r="H23" s="113">
        <f>MayTot.20</f>
        <v>0</v>
      </c>
      <c r="I23" s="113">
        <f>JunTot.20</f>
        <v>0</v>
      </c>
      <c r="J23" s="113">
        <f>JulTot.20</f>
        <v>0</v>
      </c>
      <c r="K23" s="113">
        <f>AugTot.20</f>
        <v>0</v>
      </c>
      <c r="L23" s="113">
        <f>SepTot.20</f>
        <v>0</v>
      </c>
      <c r="M23" s="113">
        <f>OctTot.20</f>
        <v>0</v>
      </c>
      <c r="N23" s="113">
        <f>NovTot.20</f>
        <v>0</v>
      </c>
      <c r="O23" s="113">
        <f>DecTot.20</f>
        <v>0</v>
      </c>
      <c r="P23" s="114">
        <f t="shared" si="0"/>
        <v>0</v>
      </c>
      <c r="Q23" s="165">
        <f t="shared" si="1"/>
        <v>0</v>
      </c>
      <c r="R23" s="115" t="str">
        <f t="shared" si="2"/>
        <v/>
      </c>
    </row>
    <row r="24" spans="2:18" ht="13" customHeight="1" x14ac:dyDescent="0.35">
      <c r="B24" s="158" t="s">
        <v>43</v>
      </c>
      <c r="C24" s="159"/>
      <c r="D24" s="172">
        <f>Jan!AI24</f>
        <v>0</v>
      </c>
      <c r="E24" s="172">
        <f>Feb!AI24</f>
        <v>0</v>
      </c>
      <c r="F24" s="172">
        <f>Mar!AI24</f>
        <v>0</v>
      </c>
      <c r="G24" s="172">
        <f>Apr!AI24</f>
        <v>0</v>
      </c>
      <c r="H24" s="172">
        <f>May!AI24</f>
        <v>0</v>
      </c>
      <c r="I24" s="172">
        <f>Jun!AI24</f>
        <v>0</v>
      </c>
      <c r="J24" s="172">
        <f>Jul!AI24</f>
        <v>0</v>
      </c>
      <c r="K24" s="172">
        <f>Aug!AI24</f>
        <v>0</v>
      </c>
      <c r="L24" s="172">
        <f>Sep!AI24</f>
        <v>0</v>
      </c>
      <c r="M24" s="172">
        <f>Oct!AI24</f>
        <v>0</v>
      </c>
      <c r="N24" s="172">
        <f>Nov!AI24</f>
        <v>0</v>
      </c>
      <c r="O24" s="172">
        <f>Dec!AI24</f>
        <v>0</v>
      </c>
      <c r="P24" s="172">
        <f>SUM(D24:O24)</f>
        <v>0</v>
      </c>
      <c r="Q24" s="173">
        <f t="shared" si="1"/>
        <v>0</v>
      </c>
      <c r="R24" s="174" t="str">
        <f>IFERROR(SUM(D24:O24)/$P$28,"")</f>
        <v/>
      </c>
    </row>
    <row r="25" spans="2:18" ht="14.5" x14ac:dyDescent="0.35">
      <c r="B25" s="117" t="s">
        <v>45</v>
      </c>
      <c r="C25" s="40"/>
      <c r="D25" s="118"/>
      <c r="E25" s="118"/>
      <c r="F25" s="118"/>
      <c r="G25" s="118"/>
      <c r="H25" s="118"/>
      <c r="I25" s="118"/>
      <c r="J25" s="118"/>
      <c r="K25" s="118"/>
      <c r="L25" s="118"/>
      <c r="M25" s="118"/>
      <c r="N25" s="118"/>
      <c r="O25" s="118"/>
      <c r="P25" s="118"/>
      <c r="Q25" s="118"/>
    </row>
    <row r="26" spans="2:18" ht="13" customHeight="1" x14ac:dyDescent="0.35">
      <c r="B26" s="315" t="s">
        <v>46</v>
      </c>
      <c r="C26" s="316"/>
      <c r="D26" s="119">
        <f t="shared" ref="D26:O26" si="3">SUM(D4:D23)</f>
        <v>0</v>
      </c>
      <c r="E26" s="119">
        <f t="shared" si="3"/>
        <v>0</v>
      </c>
      <c r="F26" s="119">
        <f t="shared" si="3"/>
        <v>0</v>
      </c>
      <c r="G26" s="119">
        <f t="shared" si="3"/>
        <v>0</v>
      </c>
      <c r="H26" s="119">
        <f t="shared" si="3"/>
        <v>0</v>
      </c>
      <c r="I26" s="119">
        <f t="shared" si="3"/>
        <v>0</v>
      </c>
      <c r="J26" s="119">
        <f t="shared" si="3"/>
        <v>0</v>
      </c>
      <c r="K26" s="119">
        <f t="shared" si="3"/>
        <v>0</v>
      </c>
      <c r="L26" s="119">
        <f t="shared" si="3"/>
        <v>0</v>
      </c>
      <c r="M26" s="119">
        <f t="shared" si="3"/>
        <v>0</v>
      </c>
      <c r="N26" s="119">
        <f t="shared" si="3"/>
        <v>0</v>
      </c>
      <c r="O26" s="119">
        <f t="shared" si="3"/>
        <v>0</v>
      </c>
      <c r="P26" s="120">
        <f>SUM(D26:O26)</f>
        <v>0</v>
      </c>
      <c r="Q26" s="165">
        <f>P26/8</f>
        <v>0</v>
      </c>
    </row>
    <row r="27" spans="2:18" ht="6" customHeight="1" x14ac:dyDescent="0.35">
      <c r="B27" s="117" t="s">
        <v>45</v>
      </c>
      <c r="C27" s="40"/>
      <c r="D27" s="118"/>
      <c r="E27" s="118"/>
      <c r="F27" s="118"/>
      <c r="G27" s="118"/>
      <c r="H27" s="118"/>
      <c r="I27" s="118"/>
      <c r="J27" s="118"/>
      <c r="K27" s="118"/>
      <c r="L27" s="118"/>
      <c r="M27" s="118"/>
      <c r="N27" s="118"/>
      <c r="O27" s="118"/>
      <c r="P27" s="118"/>
      <c r="Q27" s="118"/>
    </row>
    <row r="28" spans="2:18" ht="13" customHeight="1" x14ac:dyDescent="0.35">
      <c r="B28" s="315" t="s">
        <v>47</v>
      </c>
      <c r="C28" s="316"/>
      <c r="D28" s="119">
        <f>SUM(D4:D24)</f>
        <v>0</v>
      </c>
      <c r="E28" s="119">
        <f t="shared" ref="E28:O28" si="4">SUM(E4:E24)</f>
        <v>0</v>
      </c>
      <c r="F28" s="119">
        <f t="shared" si="4"/>
        <v>0</v>
      </c>
      <c r="G28" s="119">
        <f t="shared" si="4"/>
        <v>0</v>
      </c>
      <c r="H28" s="119">
        <f t="shared" si="4"/>
        <v>0</v>
      </c>
      <c r="I28" s="119">
        <f t="shared" si="4"/>
        <v>0</v>
      </c>
      <c r="J28" s="119">
        <f t="shared" si="4"/>
        <v>0</v>
      </c>
      <c r="K28" s="119">
        <f t="shared" si="4"/>
        <v>0</v>
      </c>
      <c r="L28" s="119">
        <f t="shared" si="4"/>
        <v>0</v>
      </c>
      <c r="M28" s="119">
        <f t="shared" si="4"/>
        <v>0</v>
      </c>
      <c r="N28" s="119">
        <f t="shared" si="4"/>
        <v>0</v>
      </c>
      <c r="O28" s="119">
        <f t="shared" si="4"/>
        <v>0</v>
      </c>
      <c r="P28" s="120">
        <f>SUM(D28:O28)</f>
        <v>0</v>
      </c>
      <c r="Q28" s="165">
        <f>P28/8</f>
        <v>0</v>
      </c>
    </row>
    <row r="29" spans="2:18" ht="6" customHeight="1" x14ac:dyDescent="0.35">
      <c r="B29" s="121" t="s">
        <v>45</v>
      </c>
      <c r="C29" s="122"/>
      <c r="D29" s="118"/>
      <c r="E29" s="118"/>
      <c r="F29" s="118"/>
      <c r="G29" s="118"/>
      <c r="H29" s="118"/>
      <c r="I29" s="118"/>
      <c r="J29" s="118"/>
      <c r="K29" s="118"/>
      <c r="L29" s="118"/>
      <c r="M29" s="118"/>
      <c r="N29" s="118"/>
      <c r="O29" s="118"/>
      <c r="P29" s="123"/>
      <c r="Q29" s="40"/>
    </row>
    <row r="30" spans="2:18" ht="12" customHeight="1" x14ac:dyDescent="0.35">
      <c r="B30" s="315" t="s">
        <v>247</v>
      </c>
      <c r="C30" s="316"/>
      <c r="D30" s="124" t="str">
        <f>IFERROR(D28/$P$28,"")</f>
        <v/>
      </c>
      <c r="E30" s="124" t="str">
        <f t="shared" ref="E30:O30" si="5">IFERROR(E28/$P$28,"")</f>
        <v/>
      </c>
      <c r="F30" s="124" t="str">
        <f t="shared" si="5"/>
        <v/>
      </c>
      <c r="G30" s="124" t="str">
        <f t="shared" si="5"/>
        <v/>
      </c>
      <c r="H30" s="124" t="str">
        <f t="shared" si="5"/>
        <v/>
      </c>
      <c r="I30" s="124" t="str">
        <f t="shared" si="5"/>
        <v/>
      </c>
      <c r="J30" s="124" t="str">
        <f t="shared" si="5"/>
        <v/>
      </c>
      <c r="K30" s="124" t="str">
        <f>IFERROR(K28/$P$28,"")</f>
        <v/>
      </c>
      <c r="L30" s="124" t="str">
        <f t="shared" si="5"/>
        <v/>
      </c>
      <c r="M30" s="124" t="str">
        <f t="shared" si="5"/>
        <v/>
      </c>
      <c r="N30" s="124" t="str">
        <f t="shared" si="5"/>
        <v/>
      </c>
      <c r="O30" s="124" t="str">
        <f t="shared" si="5"/>
        <v/>
      </c>
      <c r="P30" s="125"/>
      <c r="Q30" s="33"/>
    </row>
    <row r="31" spans="2:18" ht="12" customHeight="1" x14ac:dyDescent="0.35">
      <c r="B31" s="53" t="s">
        <v>45</v>
      </c>
      <c r="C31" s="11"/>
      <c r="D31" s="11"/>
      <c r="E31" s="11"/>
      <c r="G31" s="11"/>
      <c r="H31" s="11"/>
      <c r="I31" s="11"/>
      <c r="J31" s="11"/>
      <c r="K31" s="11"/>
      <c r="L31" s="60"/>
      <c r="M31" s="11"/>
      <c r="N31" s="11"/>
      <c r="O31" s="11"/>
      <c r="P31" s="50"/>
      <c r="Q31" s="49"/>
    </row>
    <row r="32" spans="2:18" ht="12" customHeight="1" x14ac:dyDescent="0.35">
      <c r="B32" s="43"/>
      <c r="C32" s="11"/>
      <c r="D32" s="11"/>
      <c r="E32" s="11"/>
      <c r="G32" s="11"/>
      <c r="H32" s="11"/>
      <c r="I32" s="11"/>
      <c r="J32" s="11"/>
      <c r="K32" s="11"/>
      <c r="L32" s="11"/>
      <c r="M32" s="11"/>
      <c r="N32" s="11"/>
      <c r="O32" s="11"/>
      <c r="P32" s="50"/>
      <c r="Q32" s="11"/>
    </row>
    <row r="33" spans="2:18" ht="12" customHeight="1" x14ac:dyDescent="0.35">
      <c r="B33" s="11"/>
      <c r="C33" s="11"/>
      <c r="D33" s="11"/>
      <c r="E33" s="11"/>
      <c r="G33" s="11"/>
      <c r="I33" s="11"/>
      <c r="J33" s="11"/>
      <c r="K33" s="11"/>
      <c r="L33" s="11"/>
      <c r="M33" s="11"/>
      <c r="N33" s="11"/>
      <c r="O33" s="11"/>
      <c r="P33" s="11"/>
      <c r="Q33" s="52"/>
      <c r="R33" s="52"/>
    </row>
    <row r="34" spans="2:18" ht="12" customHeight="1" x14ac:dyDescent="0.35">
      <c r="B34" s="50"/>
      <c r="C34" s="11"/>
      <c r="D34" s="11"/>
      <c r="E34" s="11"/>
      <c r="G34" s="11"/>
      <c r="H34" s="11"/>
      <c r="I34" s="11"/>
      <c r="J34" s="50"/>
      <c r="K34" s="11"/>
      <c r="L34" s="11"/>
      <c r="M34" s="11"/>
      <c r="N34" s="11"/>
      <c r="O34" s="11"/>
      <c r="P34" s="11"/>
      <c r="Q34" s="52"/>
    </row>
    <row r="35" spans="2:18" ht="12" customHeight="1" x14ac:dyDescent="0.35">
      <c r="B35" s="43"/>
      <c r="C35" s="11"/>
      <c r="D35" s="11"/>
      <c r="E35" s="11"/>
      <c r="G35" s="11"/>
      <c r="H35" s="43"/>
      <c r="I35" s="11"/>
      <c r="J35" s="11"/>
      <c r="K35" s="11"/>
      <c r="L35" s="11"/>
      <c r="M35" s="11"/>
      <c r="N35" s="11"/>
      <c r="O35" s="11"/>
      <c r="P35" s="11"/>
      <c r="Q35" s="11"/>
    </row>
    <row r="36" spans="2:18" ht="12" customHeight="1" x14ac:dyDescent="0.35">
      <c r="B36" s="11"/>
      <c r="C36" s="11"/>
      <c r="D36" s="11"/>
      <c r="E36" s="11"/>
      <c r="G36" s="11"/>
      <c r="I36" s="11"/>
      <c r="J36" s="11"/>
      <c r="K36" s="11"/>
      <c r="L36" s="11"/>
      <c r="M36" s="11"/>
      <c r="N36" s="11"/>
      <c r="O36" s="11"/>
      <c r="P36" s="11"/>
      <c r="Q36" s="11"/>
    </row>
    <row r="37" spans="2:18" ht="14.5" x14ac:dyDescent="0.35">
      <c r="B37" s="9"/>
      <c r="C37" s="9"/>
    </row>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5" customHeight="1" x14ac:dyDescent="0.35"/>
    <row r="159" ht="15" customHeight="1" x14ac:dyDescent="0.35"/>
    <row r="160" ht="15" customHeight="1" x14ac:dyDescent="0.35"/>
    <row r="161" ht="15" customHeight="1" x14ac:dyDescent="0.35"/>
    <row r="162" ht="15" customHeight="1" x14ac:dyDescent="0.35"/>
  </sheetData>
  <sheetProtection algorithmName="SHA-512" hashValue="yLgmJQPyN/BTVXIExgMOlU57N2sCQymnE5tqxaGByXzuA014y0y3DYGFqqGqbgoZpzjIknVxr+Q/zKbrcBb/FQ==" saltValue="kK8uRdFMPOg92rHJYUcDHg==" spinCount="100000" sheet="1" selectLockedCells="1" selectUnlockedCells="1"/>
  <mergeCells count="23">
    <mergeCell ref="B30:C30"/>
    <mergeCell ref="B8:C8"/>
    <mergeCell ref="B4:C4"/>
    <mergeCell ref="B5:C5"/>
    <mergeCell ref="B6:C6"/>
    <mergeCell ref="B7:C7"/>
    <mergeCell ref="B20:C20"/>
    <mergeCell ref="B9:C9"/>
    <mergeCell ref="B10:C10"/>
    <mergeCell ref="B11:C11"/>
    <mergeCell ref="B12:C12"/>
    <mergeCell ref="B13:C13"/>
    <mergeCell ref="B14:C14"/>
    <mergeCell ref="B15:C15"/>
    <mergeCell ref="B16:C16"/>
    <mergeCell ref="B17:C17"/>
    <mergeCell ref="B18:C18"/>
    <mergeCell ref="B19:C19"/>
    <mergeCell ref="B26:C26"/>
    <mergeCell ref="B28:C28"/>
    <mergeCell ref="B21:C21"/>
    <mergeCell ref="B22:C22"/>
    <mergeCell ref="B23:C23"/>
  </mergeCells>
  <conditionalFormatting sqref="B4:C23">
    <cfRule type="containsText" dxfId="19" priority="1" operator="containsText" text="Erasmus+">
      <formula>NOT(ISERROR(SEARCH("Erasmus+",B4)))</formula>
    </cfRule>
    <cfRule type="containsText" dxfId="17" priority="3" operator="containsText" text="Other US">
      <formula>NOT(ISERROR(SEARCH("Other US",B4)))</formula>
    </cfRule>
    <cfRule type="containsText" dxfId="16" priority="4" operator="containsText" text="US Army">
      <formula>NOT(ISERROR(SEARCH("US Army",B4)))</formula>
    </cfRule>
    <cfRule type="containsText" dxfId="14" priority="6" operator="containsText" text="NIH">
      <formula>NOT(ISERROR(SEARCH("NIH",B4)))</formula>
    </cfRule>
    <cfRule type="containsText" dxfId="13" priority="7" operator="containsText" text="FP7">
      <formula>NOT(ISERROR(SEARCH("FP7",B4)))</formula>
    </cfRule>
    <cfRule type="containsText" dxfId="12" priority="8" operator="containsText" text="H2020">
      <formula>NOT(ISERROR(SEARCH("H2020",B4)))</formula>
    </cfRule>
    <cfRule type="containsText" dxfId="11" priority="9" operator="containsText" text="Sida">
      <formula>NOT(ISERROR(SEARCH("Sida",B4)))</formula>
    </cfRule>
    <cfRule type="containsText" dxfId="10" priority="10" operator="containsText" text="Other">
      <formula>NOT(ISERROR(SEARCH("Other",B4)))</formula>
    </cfRule>
  </conditionalFormatting>
  <conditionalFormatting sqref="D3:O3 Q3:R3">
    <cfRule type="expression" dxfId="9" priority="72">
      <formula>OR(WEEKDAY(D3,2)=6,WEEKDAY(D3,2)=7)</formula>
    </cfRule>
    <cfRule type="expression" dxfId="8" priority="73">
      <formula>INDEX(INDIRECT("Shortened[WorkHours]"),MATCH(D3,INDIRECT("Shortened[DateInYear]"),0),0)&gt;7</formula>
    </cfRule>
    <cfRule type="expression" dxfId="7" priority="74">
      <formula>INDEX(INDIRECT("Clamp[WorkHours]"),MATCH(D3,INDIRECT("Clamp[DateInYear]"),0),0)&gt;7</formula>
    </cfRule>
    <cfRule type="expression" dxfId="6" priority="75">
      <formula>AND(INDEX(INDIRECT("Clamp[WorkHours]"),MATCH(C3,INDIRECT("Clamp[DateInYear]"),0),0)&gt;0,INDEX(INDIRECT("Clamp[WorkHours]"),MATCH(C3,INDIRECT("Clamp[DateInYear]"),0),0)&lt;8)</formula>
    </cfRule>
    <cfRule type="expression" dxfId="5" priority="76">
      <formula>AND(INDEX(INDIRECT("Shortened[WorkHours]"),MATCH(D3,INDIRECT("Shortened[DateInYear]"),0),0)&gt;0,INDEX(INDIRECT("Shortened[WorkHours]"),MATCH(D3,INDIRECT("Shortened[DateInYear]"),0),0)&lt;8)</formula>
    </cfRule>
    <cfRule type="expression" dxfId="4" priority="77">
      <formula>MATCH(D3,INDIRECT("Fixed_dates[DateInYear]"),0)&gt;0</formula>
    </cfRule>
    <cfRule type="expression" dxfId="3" priority="78">
      <formula>MATCH(D3,INDIRECT("Fixed_weekdays[DateInYear]"),0)&gt;0</formula>
    </cfRule>
  </conditionalFormatting>
  <conditionalFormatting sqref="D4:O23">
    <cfRule type="expression" dxfId="2" priority="79">
      <formula>D$2</formula>
    </cfRule>
  </conditionalFormatting>
  <conditionalFormatting sqref="J4:J7">
    <cfRule type="expression" dxfId="1" priority="80">
      <formula>J$2</formula>
    </cfRule>
  </conditionalFormatting>
  <conditionalFormatting sqref="J18:J22">
    <cfRule type="expression" dxfId="0" priority="71">
      <formula>J$2</formula>
    </cfRule>
  </conditionalFormatting>
  <printOptions horizontalCentered="1" verticalCentered="1"/>
  <pageMargins left="0.70866141732283472" right="0.70866141732283472" top="0.70866141732283472" bottom="0.74803149606299213" header="0.31496062992125984" footer="0.31496062992125984"/>
  <pageSetup paperSize="9" scale="75" orientation="landscape" r:id="rId1"/>
  <headerFooter>
    <oddHeader>&amp;L&amp;16TIMESHEET OVERVIEW</oddHeader>
    <oddFooter>&amp;R&amp;G</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2" operator="containsText" id="{637F27DE-7B9E-4527-88B0-86DB8C18BE7F}">
            <xm:f>NOT(ISERROR(SEARCH("HEU",B4)))</xm:f>
            <xm:f>"HEU"</xm:f>
            <x14:dxf>
              <fill>
                <patternFill>
                  <bgColor theme="8" tint="0.79998168889431442"/>
                </patternFill>
              </fill>
            </x14:dxf>
          </x14:cfRule>
          <x14:cfRule type="containsText" priority="5" operator="containsText" id="{19CB1B37-54D5-4973-A22B-9E1CCC9B7AAA}">
            <xm:f>NOT(ISERROR(SEARCH("Non-project",B4)))</xm:f>
            <xm:f>"Non-project"</xm:f>
            <x14:dxf>
              <fill>
                <patternFill>
                  <bgColor theme="6" tint="0.59996337778862885"/>
                </patternFill>
              </fill>
            </x14:dxf>
          </x14:cfRule>
          <xm:sqref>B4:C23</xm:sqref>
        </x14:conditionalFormatting>
      </x14:conditionalFormatting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loxAB_04">
    <tabColor theme="6" tint="0.39997558519241921"/>
    <pageSetUpPr autoPageBreaks="0" fitToPage="1"/>
  </sheetPr>
  <dimension ref="A1:AR172"/>
  <sheetViews>
    <sheetView zoomScale="85" zoomScaleNormal="85" workbookViewId="0"/>
  </sheetViews>
  <sheetFormatPr defaultColWidth="9.1796875" defaultRowHeight="14.5" x14ac:dyDescent="0.35"/>
  <cols>
    <col min="1" max="1" width="2.81640625" style="16" customWidth="1"/>
    <col min="2" max="2" width="21.81640625" style="16" customWidth="1"/>
    <col min="3" max="3" width="38.81640625" style="16" customWidth="1"/>
    <col min="4" max="4" width="17.81640625" style="16" customWidth="1"/>
    <col min="5" max="5" width="12.1796875" style="16" hidden="1" customWidth="1"/>
    <col min="6" max="6" width="13.81640625" style="16" hidden="1" customWidth="1"/>
    <col min="7" max="7" width="8.453125" style="16" hidden="1" customWidth="1"/>
    <col min="8" max="8" width="10.1796875" style="16" hidden="1" customWidth="1"/>
    <col min="9" max="9" width="6.81640625" hidden="1" customWidth="1"/>
    <col min="10" max="10" width="4.1796875" style="16" hidden="1" customWidth="1"/>
    <col min="11" max="11" width="9.1796875" style="16" hidden="1" customWidth="1"/>
    <col min="12" max="12" width="2.81640625" style="16" hidden="1" customWidth="1"/>
    <col min="13" max="14" width="9.1796875" style="16" hidden="1" customWidth="1"/>
    <col min="15" max="22" width="9.1796875" style="16" customWidth="1"/>
    <col min="23" max="44" width="9.1796875" style="16"/>
  </cols>
  <sheetData>
    <row r="1" spans="1:44" ht="15.5" x14ac:dyDescent="0.35">
      <c r="A1"/>
      <c r="B1" s="109" t="str">
        <f>AloxÅr&amp;" HOLIDAY COLOR CODES  -  KAROLINSKA INSTITUTET"</f>
        <v>2025 HOLIDAY COLOR CODES  -  KAROLINSKA INSTITUTET</v>
      </c>
      <c r="C1"/>
      <c r="D1"/>
      <c r="E1"/>
      <c r="F1" t="s">
        <v>179</v>
      </c>
      <c r="G1"/>
      <c r="H1"/>
      <c r="S1"/>
      <c r="T1"/>
      <c r="U1"/>
      <c r="V1"/>
      <c r="W1"/>
      <c r="X1"/>
      <c r="Y1"/>
      <c r="Z1"/>
      <c r="AA1"/>
      <c r="AB1"/>
      <c r="AC1"/>
      <c r="AD1"/>
      <c r="AE1"/>
      <c r="AF1"/>
      <c r="AG1"/>
      <c r="AH1"/>
      <c r="AI1"/>
      <c r="AJ1"/>
      <c r="AK1"/>
      <c r="AL1"/>
      <c r="AM1"/>
      <c r="AN1"/>
      <c r="AO1"/>
      <c r="AP1"/>
      <c r="AQ1"/>
      <c r="AR1"/>
    </row>
    <row r="2" spans="1:44" ht="15" customHeight="1" x14ac:dyDescent="0.35">
      <c r="A2"/>
      <c r="B2"/>
      <c r="C2"/>
      <c r="D2"/>
      <c r="E2"/>
      <c r="F2"/>
      <c r="G2"/>
      <c r="H2"/>
      <c r="S2"/>
      <c r="T2"/>
      <c r="U2"/>
      <c r="V2"/>
      <c r="W2"/>
      <c r="X2"/>
      <c r="Y2"/>
      <c r="Z2"/>
      <c r="AA2"/>
      <c r="AB2"/>
      <c r="AC2"/>
      <c r="AD2"/>
      <c r="AE2"/>
      <c r="AF2"/>
      <c r="AG2"/>
      <c r="AH2"/>
      <c r="AI2"/>
      <c r="AJ2"/>
      <c r="AK2"/>
      <c r="AL2"/>
      <c r="AM2"/>
      <c r="AN2"/>
      <c r="AO2"/>
      <c r="AP2"/>
      <c r="AQ2"/>
      <c r="AR2"/>
    </row>
    <row r="3" spans="1:44" ht="15" customHeight="1" x14ac:dyDescent="0.35">
      <c r="A3"/>
      <c r="B3" s="10" t="s">
        <v>180</v>
      </c>
      <c r="C3"/>
      <c r="D3"/>
      <c r="E3"/>
      <c r="F3"/>
      <c r="G3"/>
      <c r="H3"/>
      <c r="AI3"/>
      <c r="AJ3"/>
      <c r="AK3"/>
      <c r="AL3"/>
      <c r="AM3"/>
      <c r="AN3"/>
      <c r="AO3"/>
      <c r="AP3"/>
      <c r="AQ3"/>
      <c r="AR3"/>
    </row>
    <row r="4" spans="1:44" ht="15" thickBot="1" x14ac:dyDescent="0.4">
      <c r="A4"/>
      <c r="B4" s="23" t="s">
        <v>181</v>
      </c>
      <c r="C4" s="23" t="s">
        <v>182</v>
      </c>
      <c r="D4" s="23" t="s">
        <v>57</v>
      </c>
      <c r="E4" s="23" t="s">
        <v>183</v>
      </c>
      <c r="F4" s="23" t="s">
        <v>184</v>
      </c>
      <c r="G4" s="23" t="s">
        <v>185</v>
      </c>
      <c r="H4" s="23" t="s">
        <v>186</v>
      </c>
      <c r="I4" s="9" t="s">
        <v>187</v>
      </c>
      <c r="M4" s="16" t="s">
        <v>188</v>
      </c>
      <c r="N4" s="16">
        <v>1</v>
      </c>
    </row>
    <row r="5" spans="1:44" ht="15" thickTop="1" x14ac:dyDescent="0.35">
      <c r="A5"/>
      <c r="B5" s="108">
        <v>8</v>
      </c>
      <c r="C5" t="s">
        <v>189</v>
      </c>
      <c r="D5" s="152" t="s">
        <v>262</v>
      </c>
      <c r="E5" s="18" t="str">
        <f>CHOOSE(WEEKDAY(Fixed_weekdays[[#This Row],[DateInYear]],2),"Mon","Tue","Wed","Thu","Fri","Sat","Sun")</f>
        <v>Fri</v>
      </c>
      <c r="F5" s="19">
        <f>DATEVALUE(Fixed_weekdays[[#This Row],[Year]]&amp;"-"&amp;Fixed_weekdays[[#This Row],[Month]]&amp;"-"&amp;Fixed_weekdays[[#This Row],[Day]])</f>
        <v>45765</v>
      </c>
      <c r="G5" s="20">
        <f>AloxÅr</f>
        <v>2025</v>
      </c>
      <c r="H5" s="20">
        <f>+VLOOKUP(LEFT(Fixed_weekdays[[#This Row],[Date]],3),$M$4:$N$15,2,0)</f>
        <v>4</v>
      </c>
      <c r="I5" s="18" t="str">
        <f>IF(LEN(Fixed_weekdays[[#This Row],[Date]])=6,RIGHT(Fixed_weekdays[[#This Row],[Date]],2),RIGHT(Fixed_weekdays[[#This Row],[Date]],1))</f>
        <v>18</v>
      </c>
      <c r="M5" s="16" t="s">
        <v>190</v>
      </c>
      <c r="N5" s="16">
        <f t="shared" ref="N5:N15" si="0">+N4+1</f>
        <v>2</v>
      </c>
    </row>
    <row r="6" spans="1:44" x14ac:dyDescent="0.35">
      <c r="A6"/>
      <c r="B6" s="108">
        <v>8</v>
      </c>
      <c r="C6" t="s">
        <v>191</v>
      </c>
      <c r="D6" s="152" t="s">
        <v>261</v>
      </c>
      <c r="E6" s="18" t="str">
        <f>CHOOSE(WEEKDAY(Fixed_weekdays[[#This Row],[DateInYear]],2),"Mon","Tue","Wed","Thu","Fri","Sat","Sun")</f>
        <v>Mon</v>
      </c>
      <c r="F6" s="22">
        <f>DATEVALUE(Fixed_weekdays[[#This Row],[Year]]&amp;"-"&amp;Fixed_weekdays[[#This Row],[Month]]&amp;"-"&amp;Fixed_weekdays[[#This Row],[Day]])</f>
        <v>45768</v>
      </c>
      <c r="G6" s="18">
        <f>AloxÅr</f>
        <v>2025</v>
      </c>
      <c r="H6" s="18">
        <f>+VLOOKUP(LEFT(Fixed_weekdays[[#This Row],[Date]],3),$M$4:$N$15,2,0)</f>
        <v>4</v>
      </c>
      <c r="I6" s="18" t="str">
        <f>IF(LEN(Fixed_weekdays[[#This Row],[Date]])=6,RIGHT(Fixed_weekdays[[#This Row],[Date]],2),RIGHT(Fixed_weekdays[[#This Row],[Date]],1))</f>
        <v>21</v>
      </c>
      <c r="M6" s="16" t="s">
        <v>192</v>
      </c>
      <c r="N6" s="16">
        <f t="shared" si="0"/>
        <v>3</v>
      </c>
    </row>
    <row r="7" spans="1:44" x14ac:dyDescent="0.35">
      <c r="B7" s="108">
        <v>8</v>
      </c>
      <c r="C7" t="s">
        <v>193</v>
      </c>
      <c r="D7" s="21" t="s">
        <v>254</v>
      </c>
      <c r="E7" s="18" t="str">
        <f>CHOOSE(WEEKDAY(Fixed_weekdays[[#This Row],[DateInYear]],2),"Mon","Tue","Wed","Thu","Fri","Sat","Sun")</f>
        <v>Thu</v>
      </c>
      <c r="F7" s="22">
        <f>DATEVALUE(Fixed_weekdays[[#This Row],[Year]]&amp;"-"&amp;Fixed_weekdays[[#This Row],[Month]]&amp;"-"&amp;Fixed_weekdays[[#This Row],[Day]])</f>
        <v>45806</v>
      </c>
      <c r="G7" s="18">
        <f>AloxÅr</f>
        <v>2025</v>
      </c>
      <c r="H7" s="18">
        <f>+VLOOKUP(LEFT(Fixed_weekdays[[#This Row],[Date]],3),$M$4:$N$15,2,0)</f>
        <v>5</v>
      </c>
      <c r="I7" s="18" t="str">
        <f>IF(LEN(Fixed_weekdays[[#This Row],[Date]])=6,RIGHT(Fixed_weekdays[[#This Row],[Date]],2),RIGHT(Fixed_weekdays[[#This Row],[Date]],1))</f>
        <v>29</v>
      </c>
      <c r="M7" s="16" t="s">
        <v>194</v>
      </c>
      <c r="N7" s="16">
        <f t="shared" si="0"/>
        <v>4</v>
      </c>
    </row>
    <row r="8" spans="1:44" x14ac:dyDescent="0.35">
      <c r="B8" s="108">
        <v>8</v>
      </c>
      <c r="C8" t="s">
        <v>195</v>
      </c>
      <c r="D8" s="30" t="s">
        <v>263</v>
      </c>
      <c r="E8" s="18" t="str">
        <f>CHOOSE(WEEKDAY(Fixed_weekdays[[#This Row],[DateInYear]],2),"Mon","Tue","Wed","Thu","Fri","Sat","Sun")</f>
        <v>Fri</v>
      </c>
      <c r="F8" s="19">
        <f>DATEVALUE(Fixed_weekdays[[#This Row],[Year]]&amp;"-"&amp;Fixed_weekdays[[#This Row],[Month]]&amp;"-"&amp;Fixed_weekdays[[#This Row],[Day]])</f>
        <v>45828</v>
      </c>
      <c r="G8" s="20">
        <f>AloxÅr</f>
        <v>2025</v>
      </c>
      <c r="H8" s="20">
        <f>+VLOOKUP(LEFT(Fixed_weekdays[[#This Row],[Date]],3),$M$4:$N$15,2,0)</f>
        <v>6</v>
      </c>
      <c r="I8" s="18" t="str">
        <f>IF(LEN(Fixed_weekdays[[#This Row],[Date]])=6,RIGHT(Fixed_weekdays[[#This Row],[Date]],2),RIGHT(Fixed_weekdays[[#This Row],[Date]],1))</f>
        <v>20</v>
      </c>
      <c r="M8" s="16" t="s">
        <v>196</v>
      </c>
      <c r="N8" s="16">
        <f t="shared" si="0"/>
        <v>5</v>
      </c>
    </row>
    <row r="9" spans="1:44" x14ac:dyDescent="0.35">
      <c r="D9"/>
      <c r="E9"/>
      <c r="M9" s="16" t="s">
        <v>197</v>
      </c>
      <c r="N9" s="16">
        <f t="shared" si="0"/>
        <v>6</v>
      </c>
    </row>
    <row r="10" spans="1:44" x14ac:dyDescent="0.35">
      <c r="B10" s="10" t="s">
        <v>198</v>
      </c>
      <c r="D10"/>
      <c r="E10"/>
      <c r="M10" s="16" t="s">
        <v>199</v>
      </c>
      <c r="N10" s="16">
        <f t="shared" si="0"/>
        <v>7</v>
      </c>
    </row>
    <row r="11" spans="1:44" ht="15" thickBot="1" x14ac:dyDescent="0.4">
      <c r="B11" s="23" t="s">
        <v>181</v>
      </c>
      <c r="C11" s="23" t="s">
        <v>182</v>
      </c>
      <c r="D11" s="23" t="s">
        <v>57</v>
      </c>
      <c r="E11" s="23" t="s">
        <v>183</v>
      </c>
      <c r="F11" s="23" t="s">
        <v>184</v>
      </c>
      <c r="G11" s="23" t="s">
        <v>185</v>
      </c>
      <c r="H11" s="23" t="s">
        <v>186</v>
      </c>
      <c r="I11" s="9" t="s">
        <v>187</v>
      </c>
      <c r="M11" s="16" t="s">
        <v>200</v>
      </c>
      <c r="N11" s="16">
        <f t="shared" si="0"/>
        <v>8</v>
      </c>
    </row>
    <row r="12" spans="1:44" ht="15" thickTop="1" x14ac:dyDescent="0.35">
      <c r="B12" s="108">
        <v>8</v>
      </c>
      <c r="C12" t="s">
        <v>201</v>
      </c>
      <c r="D12" s="14" t="s">
        <v>202</v>
      </c>
      <c r="E12" s="18" t="str">
        <f>CHOOSE(WEEKDAY(Fixed_dates[[#This Row],[DateInYear]],2),"Mon","Tue","Wed","Thu","Fri","Sat","Sun")</f>
        <v>Wed</v>
      </c>
      <c r="F12" s="19">
        <f>DATEVALUE(Fixed_dates[[#This Row],[Year]]&amp;"-"&amp;Fixed_dates[[#This Row],[Month]]&amp;"-"&amp;Fixed_dates[[#This Row],[Day]])</f>
        <v>45658</v>
      </c>
      <c r="G12" s="20">
        <f t="shared" ref="G12:G19" si="1">AloxÅr</f>
        <v>2025</v>
      </c>
      <c r="H12" s="20">
        <f>+VLOOKUP(LEFT(Fixed_dates[[#This Row],[Date]],3),$M$4:$N$15,2,0)</f>
        <v>1</v>
      </c>
      <c r="I12" s="18" t="str">
        <f>IF(LEN(Fixed_dates[[#This Row],[Date]])=6,RIGHT(Fixed_dates[[#This Row],[Date]],2),RIGHT(Fixed_dates[[#This Row],[Date]],1))</f>
        <v>1</v>
      </c>
      <c r="M12" s="16" t="s">
        <v>203</v>
      </c>
      <c r="N12" s="16">
        <f t="shared" si="0"/>
        <v>9</v>
      </c>
    </row>
    <row r="13" spans="1:44" x14ac:dyDescent="0.35">
      <c r="B13" s="108">
        <v>8</v>
      </c>
      <c r="C13" t="s">
        <v>204</v>
      </c>
      <c r="D13" s="14" t="s">
        <v>205</v>
      </c>
      <c r="E13" s="18" t="str">
        <f>CHOOSE(WEEKDAY(Fixed_dates[[#This Row],[DateInYear]],2),"Mon","Tue","Wed","Thu","Fri","Sat","Sun")</f>
        <v>Mon</v>
      </c>
      <c r="F13" s="19">
        <f>DATEVALUE(Fixed_dates[[#This Row],[Year]]&amp;"-"&amp;Fixed_dates[[#This Row],[Month]]&amp;"-"&amp;Fixed_dates[[#This Row],[Day]])</f>
        <v>45663</v>
      </c>
      <c r="G13" s="20">
        <f t="shared" si="1"/>
        <v>2025</v>
      </c>
      <c r="H13" s="20">
        <f>+VLOOKUP(LEFT(Fixed_dates[[#This Row],[Date]],3),$M$4:$N$15,2,0)</f>
        <v>1</v>
      </c>
      <c r="I13" s="18" t="str">
        <f>IF(LEN(Fixed_dates[[#This Row],[Date]])=6,RIGHT(Fixed_dates[[#This Row],[Date]],2),RIGHT(Fixed_dates[[#This Row],[Date]],1))</f>
        <v>6</v>
      </c>
      <c r="M13" s="16" t="s">
        <v>206</v>
      </c>
      <c r="N13" s="16">
        <f t="shared" si="0"/>
        <v>10</v>
      </c>
    </row>
    <row r="14" spans="1:44" x14ac:dyDescent="0.35">
      <c r="B14" s="108">
        <v>8</v>
      </c>
      <c r="C14" t="s">
        <v>207</v>
      </c>
      <c r="D14" s="13" t="s">
        <v>208</v>
      </c>
      <c r="E14" s="18" t="str">
        <f>CHOOSE(WEEKDAY(Fixed_dates[[#This Row],[DateInYear]],2),"Mon","Tue","Wed","Thu","Fri","Sat","Sun")</f>
        <v>Thu</v>
      </c>
      <c r="F14" s="19">
        <f>DATEVALUE(Fixed_dates[[#This Row],[Year]]&amp;"-"&amp;Fixed_dates[[#This Row],[Month]]&amp;"-"&amp;Fixed_dates[[#This Row],[Day]])</f>
        <v>45778</v>
      </c>
      <c r="G14" s="20">
        <f t="shared" si="1"/>
        <v>2025</v>
      </c>
      <c r="H14" s="20">
        <f>+VLOOKUP(LEFT(Fixed_dates[[#This Row],[Date]],3),$M$4:$N$15,2,0)</f>
        <v>5</v>
      </c>
      <c r="I14" s="18" t="str">
        <f>IF(LEN(Fixed_dates[[#This Row],[Date]])=6,RIGHT(Fixed_dates[[#This Row],[Date]],2),RIGHT(Fixed_dates[[#This Row],[Date]],1))</f>
        <v>1</v>
      </c>
      <c r="M14" s="16" t="s">
        <v>209</v>
      </c>
      <c r="N14" s="16">
        <f t="shared" si="0"/>
        <v>11</v>
      </c>
    </row>
    <row r="15" spans="1:44" x14ac:dyDescent="0.35">
      <c r="B15" s="108">
        <v>8</v>
      </c>
      <c r="C15" t="s">
        <v>210</v>
      </c>
      <c r="D15" s="13" t="s">
        <v>211</v>
      </c>
      <c r="E15" s="18" t="str">
        <f>CHOOSE(WEEKDAY(Fixed_dates[[#This Row],[DateInYear]],2),"Mon","Tue","Wed","Thu","Fri","Sat","Sun")</f>
        <v>Fri</v>
      </c>
      <c r="F15" s="19">
        <f>DATEVALUE(Fixed_dates[[#This Row],[Year]]&amp;"-"&amp;Fixed_dates[[#This Row],[Month]]&amp;"-"&amp;Fixed_dates[[#This Row],[Day]])</f>
        <v>45814</v>
      </c>
      <c r="G15" s="20">
        <f t="shared" si="1"/>
        <v>2025</v>
      </c>
      <c r="H15" s="20">
        <f>+VLOOKUP(LEFT(Fixed_dates[[#This Row],[Date]],3),$M$4:$N$15,2,0)</f>
        <v>6</v>
      </c>
      <c r="I15" s="18" t="str">
        <f>IF(LEN(Fixed_dates[[#This Row],[Date]])=6,RIGHT(Fixed_dates[[#This Row],[Date]],2),RIGHT(Fixed_dates[[#This Row],[Date]],1))</f>
        <v>6</v>
      </c>
      <c r="M15" s="16" t="s">
        <v>212</v>
      </c>
      <c r="N15" s="16">
        <f t="shared" si="0"/>
        <v>12</v>
      </c>
    </row>
    <row r="16" spans="1:44" x14ac:dyDescent="0.35">
      <c r="B16" s="108">
        <v>8</v>
      </c>
      <c r="C16" t="s">
        <v>213</v>
      </c>
      <c r="D16" s="13" t="s">
        <v>214</v>
      </c>
      <c r="E16" s="18" t="str">
        <f>CHOOSE(WEEKDAY(Fixed_dates[[#This Row],[DateInYear]],2),"Mon","Tue","Wed","Thu","Fri","Sat","Sun")</f>
        <v>Wed</v>
      </c>
      <c r="F16" s="19">
        <f>DATEVALUE(Fixed_dates[[#This Row],[Year]]&amp;"-"&amp;Fixed_dates[[#This Row],[Month]]&amp;"-"&amp;Fixed_dates[[#This Row],[Day]])</f>
        <v>46015</v>
      </c>
      <c r="G16" s="20">
        <f t="shared" si="1"/>
        <v>2025</v>
      </c>
      <c r="H16" s="20">
        <f>+VLOOKUP(LEFT(Fixed_dates[[#This Row],[Date]],3),$M$4:$N$15,2,0)</f>
        <v>12</v>
      </c>
      <c r="I16" s="18" t="str">
        <f>IF(LEN(Fixed_dates[[#This Row],[Date]])=6,RIGHT(Fixed_dates[[#This Row],[Date]],2),RIGHT(Fixed_dates[[#This Row],[Date]],1))</f>
        <v>24</v>
      </c>
    </row>
    <row r="17" spans="1:11" x14ac:dyDescent="0.35">
      <c r="B17" s="108">
        <v>8</v>
      </c>
      <c r="C17" t="s">
        <v>215</v>
      </c>
      <c r="D17" s="13" t="s">
        <v>216</v>
      </c>
      <c r="E17" s="18" t="str">
        <f>CHOOSE(WEEKDAY(Fixed_dates[[#This Row],[DateInYear]],2),"Mon","Tue","Wed","Thu","Fri","Sat","Sun")</f>
        <v>Thu</v>
      </c>
      <c r="F17" s="19">
        <f>DATEVALUE(Fixed_dates[[#This Row],[Year]]&amp;"-"&amp;Fixed_dates[[#This Row],[Month]]&amp;"-"&amp;Fixed_dates[[#This Row],[Day]])</f>
        <v>46016</v>
      </c>
      <c r="G17" s="20">
        <f t="shared" si="1"/>
        <v>2025</v>
      </c>
      <c r="H17" s="20">
        <f>+VLOOKUP(LEFT(Fixed_dates[[#This Row],[Date]],3),$M$4:$N$15,2,0)</f>
        <v>12</v>
      </c>
      <c r="I17" s="18" t="str">
        <f>IF(LEN(Fixed_dates[[#This Row],[Date]])=6,RIGHT(Fixed_dates[[#This Row],[Date]],2),RIGHT(Fixed_dates[[#This Row],[Date]],1))</f>
        <v>25</v>
      </c>
    </row>
    <row r="18" spans="1:11" x14ac:dyDescent="0.35">
      <c r="B18" s="108">
        <v>8</v>
      </c>
      <c r="C18" t="s">
        <v>217</v>
      </c>
      <c r="D18" s="13" t="s">
        <v>218</v>
      </c>
      <c r="E18" s="18" t="str">
        <f>CHOOSE(WEEKDAY(Fixed_dates[[#This Row],[DateInYear]],2),"Mon","Tue","Wed","Thu","Fri","Sat","Sun")</f>
        <v>Fri</v>
      </c>
      <c r="F18" s="19">
        <f>DATEVALUE(Fixed_dates[[#This Row],[Year]]&amp;"-"&amp;Fixed_dates[[#This Row],[Month]]&amp;"-"&amp;Fixed_dates[[#This Row],[Day]])</f>
        <v>46017</v>
      </c>
      <c r="G18" s="20">
        <f t="shared" si="1"/>
        <v>2025</v>
      </c>
      <c r="H18" s="20">
        <f>+VLOOKUP(LEFT(Fixed_dates[[#This Row],[Date]],3),$M$4:$N$15,2,0)</f>
        <v>12</v>
      </c>
      <c r="I18" s="18" t="str">
        <f>IF(LEN(Fixed_dates[[#This Row],[Date]])=6,RIGHT(Fixed_dates[[#This Row],[Date]],2),RIGHT(Fixed_dates[[#This Row],[Date]],1))</f>
        <v>26</v>
      </c>
    </row>
    <row r="19" spans="1:11" x14ac:dyDescent="0.35">
      <c r="B19" s="108">
        <v>8</v>
      </c>
      <c r="C19" t="s">
        <v>219</v>
      </c>
      <c r="D19" s="13" t="s">
        <v>220</v>
      </c>
      <c r="E19" s="18" t="str">
        <f>CHOOSE(WEEKDAY(Fixed_dates[[#This Row],[DateInYear]],2),"Mon","Tue","Wed","Thu","Fri","Sat","Sun")</f>
        <v>Wed</v>
      </c>
      <c r="F19" s="19">
        <f>DATEVALUE(Fixed_dates[[#This Row],[Year]]&amp;"-"&amp;Fixed_dates[[#This Row],[Month]]&amp;"-"&amp;Fixed_dates[[#This Row],[Day]])</f>
        <v>46022</v>
      </c>
      <c r="G19" s="20">
        <f t="shared" si="1"/>
        <v>2025</v>
      </c>
      <c r="H19" s="20">
        <f>+VLOOKUP(LEFT(Fixed_dates[[#This Row],[Date]],3),$M$4:$N$15,2,0)</f>
        <v>12</v>
      </c>
      <c r="I19" s="18" t="str">
        <f>IF(LEN(Fixed_dates[[#This Row],[Date]])=6,RIGHT(Fixed_dates[[#This Row],[Date]],2),RIGHT(Fixed_dates[[#This Row],[Date]],1))</f>
        <v>31</v>
      </c>
      <c r="K19" s="24"/>
    </row>
    <row r="20" spans="1:11" x14ac:dyDescent="0.35">
      <c r="D20"/>
      <c r="E20"/>
    </row>
    <row r="21" spans="1:11" x14ac:dyDescent="0.35">
      <c r="B21" s="10" t="s">
        <v>221</v>
      </c>
      <c r="D21"/>
      <c r="E21"/>
    </row>
    <row r="22" spans="1:11" ht="15" thickBot="1" x14ac:dyDescent="0.4">
      <c r="B22" s="23" t="s">
        <v>181</v>
      </c>
      <c r="C22" s="23" t="s">
        <v>182</v>
      </c>
      <c r="D22" s="23" t="s">
        <v>57</v>
      </c>
      <c r="E22" s="23" t="s">
        <v>183</v>
      </c>
      <c r="F22" s="23" t="s">
        <v>184</v>
      </c>
      <c r="G22" s="23" t="s">
        <v>185</v>
      </c>
      <c r="H22" s="23" t="s">
        <v>186</v>
      </c>
      <c r="I22" s="9" t="s">
        <v>187</v>
      </c>
    </row>
    <row r="23" spans="1:11" ht="15" thickTop="1" x14ac:dyDescent="0.35">
      <c r="A23" s="24"/>
      <c r="B23" s="25">
        <v>0</v>
      </c>
      <c r="C23" t="s">
        <v>222</v>
      </c>
      <c r="D23" s="12" t="s">
        <v>223</v>
      </c>
      <c r="E23" s="18" t="str">
        <f>CHOOSE(WEEKDAY(Shortened[[#This Row],[DateInYear]],2),"Mon","Tue","Wed","Thu","Fri","Sat","Sun")</f>
        <v>Sun</v>
      </c>
      <c r="F23" s="19">
        <f>DATEVALUE(Shortened[[#This Row],[Year]]&amp;"-"&amp;Shortened[[#This Row],[Month]]&amp;"-"&amp;Shortened[[#This Row],[Day]])</f>
        <v>45662</v>
      </c>
      <c r="G23" s="20">
        <f>AloxÅr</f>
        <v>2025</v>
      </c>
      <c r="H23" s="20">
        <f>+VLOOKUP(LEFT(Shortened[[#This Row],[Date]],3),$M$4:$N$15,2,0)</f>
        <v>1</v>
      </c>
      <c r="I23" s="18" t="str">
        <f>IF(LEN(Shortened[[#This Row],[Date]])=6,RIGHT(Shortened[[#This Row],[Date]],2),RIGHT(Shortened[[#This Row],[Date]],1))</f>
        <v>5</v>
      </c>
    </row>
    <row r="24" spans="1:11" x14ac:dyDescent="0.35">
      <c r="A24" s="24"/>
      <c r="B24" s="201">
        <v>2</v>
      </c>
      <c r="C24" t="s">
        <v>224</v>
      </c>
      <c r="D24" s="185" t="s">
        <v>260</v>
      </c>
      <c r="E24" s="18" t="str">
        <f>CHOOSE(WEEKDAY(Shortened[[#This Row],[DateInYear]],2),"Mon","Tue","Wed","Thu","Fri","Sat","Sun")</f>
        <v>Thu</v>
      </c>
      <c r="F24" s="19">
        <f>DATEVALUE(Shortened[[#This Row],[Year]]&amp;"-"&amp;Shortened[[#This Row],[Month]]&amp;"-"&amp;Shortened[[#This Row],[Day]])</f>
        <v>45764</v>
      </c>
      <c r="G24" s="20">
        <f>AloxÅr</f>
        <v>2025</v>
      </c>
      <c r="H24" s="20">
        <f>+VLOOKUP(LEFT(Shortened[[#This Row],[Date]],3),$M$4:$N$15,2,0)</f>
        <v>4</v>
      </c>
      <c r="I24" s="18" t="str">
        <f>IF(LEN(Shortened[[#This Row],[Date]])=6,RIGHT(Shortened[[#This Row],[Date]],2),RIGHT(Shortened[[#This Row],[Date]],1))</f>
        <v>17</v>
      </c>
    </row>
    <row r="25" spans="1:11" ht="15.75" customHeight="1" x14ac:dyDescent="0.35">
      <c r="A25" s="24"/>
      <c r="B25" s="26">
        <v>2</v>
      </c>
      <c r="C25" t="s">
        <v>225</v>
      </c>
      <c r="D25" s="185" t="s">
        <v>226</v>
      </c>
      <c r="E25" s="18" t="str">
        <f>CHOOSE(WEEKDAY(Shortened[[#This Row],[DateInYear]],2),"Mon","Tue","Wed","Thu","Fri","Sat","Sun")</f>
        <v>Wed</v>
      </c>
      <c r="F25" s="19">
        <f>DATEVALUE(Shortened[[#This Row],[Year]]&amp;"-"&amp;Shortened[[#This Row],[Month]]&amp;"-"&amp;Shortened[[#This Row],[Day]])</f>
        <v>45777</v>
      </c>
      <c r="G25" s="20">
        <f>AloxÅr</f>
        <v>2025</v>
      </c>
      <c r="H25" s="20">
        <f>+VLOOKUP(LEFT(Shortened[[#This Row],[Date]],3),$M$4:$N$15,2,0)</f>
        <v>4</v>
      </c>
      <c r="I25" s="18" t="str">
        <f>IF(LEN(Shortened[[#This Row],[Date]])=6,RIGHT(Shortened[[#This Row],[Date]],2),RIGHT(Shortened[[#This Row],[Date]],1))</f>
        <v>30</v>
      </c>
    </row>
    <row r="26" spans="1:11" x14ac:dyDescent="0.35">
      <c r="B26" s="26">
        <v>8</v>
      </c>
      <c r="C26" t="s">
        <v>227</v>
      </c>
      <c r="D26" s="12" t="s">
        <v>256</v>
      </c>
      <c r="E26" s="18" t="str">
        <f>CHOOSE(WEEKDAY(Shortened[[#This Row],[DateInYear]],2),"Mon","Tue","Wed","Thu","Fri","Sat","Sun")</f>
        <v>Fri</v>
      </c>
      <c r="F26" s="19">
        <f>DATEVALUE(Shortened[[#This Row],[Year]]&amp;"-"&amp;Shortened[[#This Row],[Month]]&amp;"-"&amp;Shortened[[#This Row],[Day]])</f>
        <v>45961</v>
      </c>
      <c r="G26" s="20">
        <f>AloxÅr</f>
        <v>2025</v>
      </c>
      <c r="H26" s="20">
        <f>+VLOOKUP(LEFT(Shortened[[#This Row],[Date]],3),$M$4:$N$15,2,0)</f>
        <v>10</v>
      </c>
      <c r="I26" s="18" t="str">
        <f>IF(LEN(Shortened[[#This Row],[Date]])=6,RIGHT(Shortened[[#This Row],[Date]],2),RIGHT(Shortened[[#This Row],[Date]],1))</f>
        <v>31</v>
      </c>
    </row>
    <row r="27" spans="1:11" ht="15.75" customHeight="1" x14ac:dyDescent="0.35">
      <c r="B27" s="26">
        <v>0</v>
      </c>
      <c r="C27" s="151" t="s">
        <v>228</v>
      </c>
      <c r="D27" s="15" t="s">
        <v>229</v>
      </c>
      <c r="E27" s="18" t="str">
        <f>CHOOSE(WEEKDAY(Shortened[[#This Row],[DateInYear]],2),"Mon","Tue","Wed","Thu","Fri","Sat","Sun")</f>
        <v>Tue</v>
      </c>
      <c r="F27" s="19">
        <f>DATEVALUE(Shortened[[#This Row],[Year]]&amp;"-"&amp;Shortened[[#This Row],[Month]]&amp;"-"&amp;Shortened[[#This Row],[Day]])</f>
        <v>46014</v>
      </c>
      <c r="G27" s="20">
        <f>AloxÅr</f>
        <v>2025</v>
      </c>
      <c r="H27" s="20">
        <f>+VLOOKUP(LEFT(Shortened[[#This Row],[Date]],3),$M$4:$N$15,2,0)</f>
        <v>12</v>
      </c>
      <c r="I27" s="18" t="str">
        <f>IF(LEN(Shortened[[#This Row],[Date]])=6,RIGHT(Shortened[[#This Row],[Date]],2),RIGHT(Shortened[[#This Row],[Date]],1))</f>
        <v>23</v>
      </c>
    </row>
    <row r="28" spans="1:11" x14ac:dyDescent="0.35">
      <c r="D28"/>
      <c r="E28"/>
    </row>
    <row r="29" spans="1:11" x14ac:dyDescent="0.35">
      <c r="B29" s="10" t="s">
        <v>230</v>
      </c>
    </row>
    <row r="30" spans="1:11" ht="15" thickBot="1" x14ac:dyDescent="0.4">
      <c r="A30" s="27"/>
      <c r="B30" s="9" t="s">
        <v>181</v>
      </c>
      <c r="C30" s="23" t="s">
        <v>182</v>
      </c>
      <c r="D30" s="23" t="s">
        <v>57</v>
      </c>
      <c r="E30" s="23" t="s">
        <v>183</v>
      </c>
      <c r="F30" s="23" t="s">
        <v>184</v>
      </c>
      <c r="G30" s="23" t="s">
        <v>185</v>
      </c>
      <c r="H30" s="23" t="s">
        <v>186</v>
      </c>
      <c r="I30" s="9" t="s">
        <v>187</v>
      </c>
    </row>
    <row r="31" spans="1:11" ht="15" hidden="1" thickTop="1" x14ac:dyDescent="0.35">
      <c r="A31" s="28"/>
      <c r="B31" s="26"/>
      <c r="C31"/>
      <c r="D31" s="17"/>
      <c r="E31" s="18"/>
      <c r="F31" s="19"/>
      <c r="G31" s="20"/>
      <c r="H31" s="20"/>
      <c r="I31" s="18"/>
    </row>
    <row r="32" spans="1:11" ht="15" thickTop="1" x14ac:dyDescent="0.35">
      <c r="B32" s="29">
        <v>0</v>
      </c>
      <c r="C32" t="s">
        <v>251</v>
      </c>
      <c r="D32" s="15" t="s">
        <v>250</v>
      </c>
      <c r="E32" s="18" t="str">
        <f>CHOOSE(WEEKDAY(Clamp[[#This Row],[DateInYear]],2),"Mon","Tue","Wed","Thu","Fri","Sat","Sun")</f>
        <v>Tue</v>
      </c>
      <c r="F32" s="19">
        <f>DATEVALUE(Clamp[[#This Row],[Year]]&amp;"-"&amp;Clamp[[#This Row],[Month]]&amp;"-"&amp;Clamp[[#This Row],[Day]])</f>
        <v>45664</v>
      </c>
      <c r="G32" s="20">
        <f>AloxÅr</f>
        <v>2025</v>
      </c>
      <c r="H32" s="20">
        <f>+VLOOKUP(LEFT(Clamp[[#This Row],[Date]],3),$M$4:$N$15,2,0)</f>
        <v>1</v>
      </c>
      <c r="I32" s="18" t="str">
        <f>IF(LEN(Clamp[[#This Row],[Date]])=6,RIGHT(Clamp[[#This Row],[Date]],2),RIGHT(Clamp[[#This Row],[Date]],1))</f>
        <v>7</v>
      </c>
    </row>
    <row r="33" spans="2:9" x14ac:dyDescent="0.35">
      <c r="B33" s="35">
        <v>8</v>
      </c>
      <c r="C33" s="16" t="s">
        <v>257</v>
      </c>
      <c r="D33" s="15" t="s">
        <v>258</v>
      </c>
      <c r="E33" s="18" t="str">
        <f>CHOOSE(WEEKDAY(Clamp[[#This Row],[DateInYear]],2),"Mon","Tue","Wed","Thu","Fri","Sat","Sun")</f>
        <v>Fri</v>
      </c>
      <c r="F33" s="19">
        <f>DATEVALUE(Clamp[[#This Row],[Year]]&amp;"-"&amp;Clamp[[#This Row],[Month]]&amp;"-"&amp;Clamp[[#This Row],[Day]])</f>
        <v>45779</v>
      </c>
      <c r="G33" s="20">
        <f>AloxÅr</f>
        <v>2025</v>
      </c>
      <c r="H33" s="20">
        <f>+VLOOKUP(LEFT(Clamp[[#This Row],[Date]],3),$M$4:$N$15,2,0)</f>
        <v>5</v>
      </c>
      <c r="I33" s="18" t="str">
        <f>IF(LEN(Clamp[[#This Row],[Date]])=6,RIGHT(Clamp[[#This Row],[Date]],2),RIGHT(Clamp[[#This Row],[Date]],1))</f>
        <v>2</v>
      </c>
    </row>
    <row r="34" spans="2:9" x14ac:dyDescent="0.35">
      <c r="B34" s="35">
        <v>8</v>
      </c>
      <c r="C34" t="s">
        <v>259</v>
      </c>
      <c r="D34" s="15" t="s">
        <v>255</v>
      </c>
      <c r="E34" s="18" t="str">
        <f>CHOOSE(WEEKDAY(Clamp[[#This Row],[DateInYear]],2),"Mon","Tue","Wed","Thu","Fri","Sat","Sun")</f>
        <v>Fri</v>
      </c>
      <c r="F34" s="19">
        <f>DATEVALUE(Clamp[[#This Row],[Year]]&amp;"-"&amp;Clamp[[#This Row],[Month]]&amp;"-"&amp;Clamp[[#This Row],[Day]])</f>
        <v>45807</v>
      </c>
      <c r="G34" s="20">
        <f>AloxÅr</f>
        <v>2025</v>
      </c>
      <c r="H34" s="20">
        <f>+VLOOKUP(LEFT(Clamp[[#This Row],[Date]],3),$M$4:$N$15,2,0)</f>
        <v>5</v>
      </c>
      <c r="I34" s="18" t="str">
        <f>IF(LEN(Clamp[[#This Row],[Date]])=6,RIGHT(Clamp[[#This Row],[Date]],2),RIGHT(Clamp[[#This Row],[Date]],1))</f>
        <v>30</v>
      </c>
    </row>
    <row r="35" spans="2:9" x14ac:dyDescent="0.35">
      <c r="B35" s="35">
        <v>0</v>
      </c>
      <c r="C35" s="16" t="s">
        <v>231</v>
      </c>
      <c r="D35" s="15" t="s">
        <v>232</v>
      </c>
      <c r="E35" s="18" t="str">
        <f>CHOOSE(WEEKDAY(Clamp[[#This Row],[DateInYear]],2),"Mon","Tue","Wed","Thu","Fri","Sat","Sun")</f>
        <v>Sat</v>
      </c>
      <c r="F35" s="19">
        <f>DATEVALUE(Clamp[[#This Row],[Year]]&amp;"-"&amp;Clamp[[#This Row],[Month]]&amp;"-"&amp;Clamp[[#This Row],[Day]])</f>
        <v>46018</v>
      </c>
      <c r="G35" s="20">
        <f>AloxÅr</f>
        <v>2025</v>
      </c>
      <c r="H35" s="20">
        <f>+VLOOKUP(LEFT(Clamp[[#This Row],[Date]],3),$M$4:$N$15,2,0)</f>
        <v>12</v>
      </c>
      <c r="I35" s="18" t="str">
        <f>IF(LEN(Clamp[[#This Row],[Date]])=6,RIGHT(Clamp[[#This Row],[Date]],2),RIGHT(Clamp[[#This Row],[Date]],1))</f>
        <v>27</v>
      </c>
    </row>
    <row r="36" spans="2:9" x14ac:dyDescent="0.35">
      <c r="B36" s="35">
        <v>0</v>
      </c>
      <c r="C36" s="16" t="s">
        <v>233</v>
      </c>
      <c r="D36" s="15" t="s">
        <v>234</v>
      </c>
      <c r="E36" s="18" t="str">
        <f>CHOOSE(WEEKDAY(Clamp[[#This Row],[DateInYear]],2),"Mon","Tue","Wed","Thu","Fri","Sat","Sun")</f>
        <v>Tue</v>
      </c>
      <c r="F36" s="19">
        <f>DATEVALUE(Clamp[[#This Row],[Year]]&amp;"-"&amp;Clamp[[#This Row],[Month]]&amp;"-"&amp;Clamp[[#This Row],[Day]])</f>
        <v>46021</v>
      </c>
      <c r="G36" s="20">
        <f>AloxÅr</f>
        <v>2025</v>
      </c>
      <c r="H36" s="20">
        <f>+VLOOKUP(LEFT(Clamp[[#This Row],[Date]],3),$M$4:$N$15,2,0)</f>
        <v>12</v>
      </c>
      <c r="I36" s="18" t="str">
        <f>IF(LEN(Clamp[[#This Row],[Date]])=6,RIGHT(Clamp[[#This Row],[Date]],2),RIGHT(Clamp[[#This Row],[Date]],1))</f>
        <v>30</v>
      </c>
    </row>
    <row r="39" spans="2:9" x14ac:dyDescent="0.35">
      <c r="I39" s="16"/>
    </row>
    <row r="40" spans="2:9" x14ac:dyDescent="0.35">
      <c r="I40" s="16"/>
    </row>
    <row r="41" spans="2:9" x14ac:dyDescent="0.35">
      <c r="I41" s="16"/>
    </row>
    <row r="42" spans="2:9" x14ac:dyDescent="0.35">
      <c r="I42" s="16"/>
    </row>
    <row r="43" spans="2:9" x14ac:dyDescent="0.35">
      <c r="I43" s="16"/>
    </row>
    <row r="44" spans="2:9" x14ac:dyDescent="0.35">
      <c r="I44" s="16"/>
    </row>
    <row r="45" spans="2:9" x14ac:dyDescent="0.35">
      <c r="I45" s="16"/>
    </row>
    <row r="46" spans="2:9" x14ac:dyDescent="0.35">
      <c r="I46" s="16"/>
    </row>
    <row r="47" spans="2:9" x14ac:dyDescent="0.35">
      <c r="I47" s="16"/>
    </row>
    <row r="48" spans="2:9" x14ac:dyDescent="0.35">
      <c r="I48" s="16"/>
    </row>
    <row r="49" spans="9:9" x14ac:dyDescent="0.35">
      <c r="I49" s="16"/>
    </row>
    <row r="50" spans="9:9" x14ac:dyDescent="0.35">
      <c r="I50" s="16"/>
    </row>
    <row r="51" spans="9:9" x14ac:dyDescent="0.35">
      <c r="I51" s="16"/>
    </row>
    <row r="52" spans="9:9" x14ac:dyDescent="0.35">
      <c r="I52" s="16"/>
    </row>
    <row r="53" spans="9:9" x14ac:dyDescent="0.35">
      <c r="I53" s="16"/>
    </row>
    <row r="54" spans="9:9" x14ac:dyDescent="0.35">
      <c r="I54" s="16"/>
    </row>
    <row r="55" spans="9:9" x14ac:dyDescent="0.35">
      <c r="I55" s="16"/>
    </row>
    <row r="56" spans="9:9" x14ac:dyDescent="0.35">
      <c r="I56" s="16"/>
    </row>
    <row r="57" spans="9:9" x14ac:dyDescent="0.35">
      <c r="I57" s="16"/>
    </row>
    <row r="58" spans="9:9" x14ac:dyDescent="0.35">
      <c r="I58" s="16"/>
    </row>
    <row r="59" spans="9:9" x14ac:dyDescent="0.35">
      <c r="I59" s="16"/>
    </row>
    <row r="60" spans="9:9" x14ac:dyDescent="0.35">
      <c r="I60" s="16"/>
    </row>
    <row r="61" spans="9:9" x14ac:dyDescent="0.35">
      <c r="I61" s="16"/>
    </row>
    <row r="62" spans="9:9" x14ac:dyDescent="0.35">
      <c r="I62" s="16"/>
    </row>
    <row r="63" spans="9:9" x14ac:dyDescent="0.35">
      <c r="I63" s="16"/>
    </row>
    <row r="64" spans="9:9" x14ac:dyDescent="0.35">
      <c r="I64" s="16"/>
    </row>
    <row r="65" spans="9:9" x14ac:dyDescent="0.35">
      <c r="I65" s="16"/>
    </row>
    <row r="66" spans="9:9" x14ac:dyDescent="0.35">
      <c r="I66" s="16"/>
    </row>
    <row r="67" spans="9:9" x14ac:dyDescent="0.35">
      <c r="I67" s="16"/>
    </row>
    <row r="68" spans="9:9" x14ac:dyDescent="0.35">
      <c r="I68" s="16"/>
    </row>
    <row r="69" spans="9:9" x14ac:dyDescent="0.35">
      <c r="I69" s="16"/>
    </row>
    <row r="70" spans="9:9" x14ac:dyDescent="0.35">
      <c r="I70" s="16"/>
    </row>
    <row r="71" spans="9:9" x14ac:dyDescent="0.35">
      <c r="I71" s="16"/>
    </row>
    <row r="72" spans="9:9" x14ac:dyDescent="0.35">
      <c r="I72" s="16"/>
    </row>
    <row r="73" spans="9:9" x14ac:dyDescent="0.35">
      <c r="I73" s="16"/>
    </row>
    <row r="74" spans="9:9" x14ac:dyDescent="0.35">
      <c r="I74" s="16"/>
    </row>
    <row r="75" spans="9:9" x14ac:dyDescent="0.35">
      <c r="I75" s="16"/>
    </row>
    <row r="76" spans="9:9" x14ac:dyDescent="0.35">
      <c r="I76" s="16"/>
    </row>
    <row r="77" spans="9:9" x14ac:dyDescent="0.35">
      <c r="I77" s="16"/>
    </row>
    <row r="78" spans="9:9" x14ac:dyDescent="0.35">
      <c r="I78" s="16"/>
    </row>
    <row r="79" spans="9:9" x14ac:dyDescent="0.35">
      <c r="I79" s="16"/>
    </row>
    <row r="80" spans="9:9" x14ac:dyDescent="0.35">
      <c r="I80" s="16"/>
    </row>
    <row r="81" spans="9:9" x14ac:dyDescent="0.35">
      <c r="I81" s="16"/>
    </row>
    <row r="82" spans="9:9" x14ac:dyDescent="0.35">
      <c r="I82" s="16"/>
    </row>
    <row r="83" spans="9:9" x14ac:dyDescent="0.35">
      <c r="I83" s="16"/>
    </row>
    <row r="84" spans="9:9" x14ac:dyDescent="0.35">
      <c r="I84" s="16"/>
    </row>
    <row r="85" spans="9:9" x14ac:dyDescent="0.35">
      <c r="I85" s="16"/>
    </row>
    <row r="86" spans="9:9" x14ac:dyDescent="0.35">
      <c r="I86" s="16"/>
    </row>
    <row r="87" spans="9:9" x14ac:dyDescent="0.35">
      <c r="I87" s="16"/>
    </row>
    <row r="88" spans="9:9" x14ac:dyDescent="0.35">
      <c r="I88" s="16"/>
    </row>
    <row r="89" spans="9:9" x14ac:dyDescent="0.35">
      <c r="I89" s="16"/>
    </row>
    <row r="90" spans="9:9" x14ac:dyDescent="0.35">
      <c r="I90" s="16"/>
    </row>
    <row r="91" spans="9:9" x14ac:dyDescent="0.35">
      <c r="I91" s="16"/>
    </row>
    <row r="92" spans="9:9" x14ac:dyDescent="0.35">
      <c r="I92" s="16"/>
    </row>
    <row r="93" spans="9:9" x14ac:dyDescent="0.35">
      <c r="I93" s="16"/>
    </row>
    <row r="94" spans="9:9" x14ac:dyDescent="0.35">
      <c r="I94" s="16"/>
    </row>
    <row r="95" spans="9:9" x14ac:dyDescent="0.35">
      <c r="I95" s="16"/>
    </row>
    <row r="96" spans="9:9" x14ac:dyDescent="0.35">
      <c r="I96" s="16"/>
    </row>
    <row r="97" spans="9:9" x14ac:dyDescent="0.35">
      <c r="I97" s="16"/>
    </row>
    <row r="98" spans="9:9" x14ac:dyDescent="0.35">
      <c r="I98" s="16"/>
    </row>
    <row r="99" spans="9:9" x14ac:dyDescent="0.35">
      <c r="I99" s="16"/>
    </row>
    <row r="100" spans="9:9" x14ac:dyDescent="0.35">
      <c r="I100" s="16"/>
    </row>
    <row r="101" spans="9:9" x14ac:dyDescent="0.35">
      <c r="I101" s="16"/>
    </row>
    <row r="102" spans="9:9" x14ac:dyDescent="0.35">
      <c r="I102" s="16"/>
    </row>
    <row r="103" spans="9:9" x14ac:dyDescent="0.35">
      <c r="I103" s="16"/>
    </row>
    <row r="104" spans="9:9" x14ac:dyDescent="0.35">
      <c r="I104" s="16"/>
    </row>
    <row r="105" spans="9:9" x14ac:dyDescent="0.35">
      <c r="I105" s="16"/>
    </row>
    <row r="106" spans="9:9" x14ac:dyDescent="0.35">
      <c r="I106" s="16"/>
    </row>
    <row r="107" spans="9:9" x14ac:dyDescent="0.35">
      <c r="I107" s="16"/>
    </row>
    <row r="108" spans="9:9" x14ac:dyDescent="0.35">
      <c r="I108" s="16"/>
    </row>
    <row r="109" spans="9:9" x14ac:dyDescent="0.35">
      <c r="I109" s="16"/>
    </row>
    <row r="110" spans="9:9" x14ac:dyDescent="0.35">
      <c r="I110" s="16"/>
    </row>
    <row r="111" spans="9:9" x14ac:dyDescent="0.35">
      <c r="I111" s="16"/>
    </row>
    <row r="112" spans="9:9" x14ac:dyDescent="0.35">
      <c r="I112" s="16"/>
    </row>
    <row r="113" spans="9:9" x14ac:dyDescent="0.35">
      <c r="I113" s="16"/>
    </row>
    <row r="114" spans="9:9" x14ac:dyDescent="0.35">
      <c r="I114" s="16"/>
    </row>
    <row r="115" spans="9:9" x14ac:dyDescent="0.35">
      <c r="I115" s="16"/>
    </row>
    <row r="116" spans="9:9" x14ac:dyDescent="0.35">
      <c r="I116" s="16"/>
    </row>
    <row r="117" spans="9:9" x14ac:dyDescent="0.35">
      <c r="I117" s="16"/>
    </row>
    <row r="118" spans="9:9" x14ac:dyDescent="0.35">
      <c r="I118" s="16"/>
    </row>
    <row r="119" spans="9:9" x14ac:dyDescent="0.35">
      <c r="I119" s="16"/>
    </row>
    <row r="120" spans="9:9" x14ac:dyDescent="0.35">
      <c r="I120" s="16"/>
    </row>
    <row r="121" spans="9:9" x14ac:dyDescent="0.35">
      <c r="I121" s="16"/>
    </row>
    <row r="122" spans="9:9" x14ac:dyDescent="0.35">
      <c r="I122" s="16"/>
    </row>
    <row r="123" spans="9:9" x14ac:dyDescent="0.35">
      <c r="I123" s="16"/>
    </row>
    <row r="124" spans="9:9" x14ac:dyDescent="0.35">
      <c r="I124" s="16"/>
    </row>
    <row r="125" spans="9:9" x14ac:dyDescent="0.35">
      <c r="I125" s="16"/>
    </row>
    <row r="126" spans="9:9" x14ac:dyDescent="0.35">
      <c r="I126" s="16"/>
    </row>
    <row r="127" spans="9:9" x14ac:dyDescent="0.35">
      <c r="I127" s="16"/>
    </row>
    <row r="128" spans="9:9" x14ac:dyDescent="0.35">
      <c r="I128" s="16"/>
    </row>
    <row r="129" spans="9:9" x14ac:dyDescent="0.35">
      <c r="I129" s="16"/>
    </row>
    <row r="130" spans="9:9" x14ac:dyDescent="0.35">
      <c r="I130" s="16"/>
    </row>
    <row r="131" spans="9:9" x14ac:dyDescent="0.35">
      <c r="I131" s="16"/>
    </row>
    <row r="132" spans="9:9" x14ac:dyDescent="0.35">
      <c r="I132" s="16"/>
    </row>
    <row r="133" spans="9:9" x14ac:dyDescent="0.35">
      <c r="I133" s="16"/>
    </row>
    <row r="134" spans="9:9" x14ac:dyDescent="0.35">
      <c r="I134" s="16"/>
    </row>
    <row r="135" spans="9:9" x14ac:dyDescent="0.35">
      <c r="I135" s="16"/>
    </row>
    <row r="136" spans="9:9" x14ac:dyDescent="0.35">
      <c r="I136" s="16"/>
    </row>
    <row r="137" spans="9:9" x14ac:dyDescent="0.35">
      <c r="I137" s="16"/>
    </row>
    <row r="138" spans="9:9" x14ac:dyDescent="0.35">
      <c r="I138" s="16"/>
    </row>
    <row r="139" spans="9:9" x14ac:dyDescent="0.35">
      <c r="I139" s="16"/>
    </row>
    <row r="140" spans="9:9" x14ac:dyDescent="0.35">
      <c r="I140" s="16"/>
    </row>
    <row r="141" spans="9:9" x14ac:dyDescent="0.35">
      <c r="I141" s="16"/>
    </row>
    <row r="142" spans="9:9" x14ac:dyDescent="0.35">
      <c r="I142" s="16"/>
    </row>
    <row r="143" spans="9:9" x14ac:dyDescent="0.35">
      <c r="I143" s="16"/>
    </row>
    <row r="144" spans="9:9" x14ac:dyDescent="0.35">
      <c r="I144" s="16"/>
    </row>
    <row r="145" spans="9:9" x14ac:dyDescent="0.35">
      <c r="I145" s="16"/>
    </row>
    <row r="146" spans="9:9" x14ac:dyDescent="0.35">
      <c r="I146" s="16"/>
    </row>
    <row r="147" spans="9:9" x14ac:dyDescent="0.35">
      <c r="I147" s="16"/>
    </row>
    <row r="148" spans="9:9" x14ac:dyDescent="0.35">
      <c r="I148" s="16"/>
    </row>
    <row r="149" spans="9:9" x14ac:dyDescent="0.35">
      <c r="I149" s="16"/>
    </row>
    <row r="150" spans="9:9" x14ac:dyDescent="0.35">
      <c r="I150" s="16"/>
    </row>
    <row r="151" spans="9:9" x14ac:dyDescent="0.35">
      <c r="I151" s="16"/>
    </row>
    <row r="152" spans="9:9" x14ac:dyDescent="0.35">
      <c r="I152" s="16"/>
    </row>
    <row r="153" spans="9:9" x14ac:dyDescent="0.35">
      <c r="I153" s="16"/>
    </row>
    <row r="154" spans="9:9" x14ac:dyDescent="0.35">
      <c r="I154" s="16"/>
    </row>
    <row r="155" spans="9:9" x14ac:dyDescent="0.35">
      <c r="I155" s="16"/>
    </row>
    <row r="156" spans="9:9" x14ac:dyDescent="0.35">
      <c r="I156" s="16"/>
    </row>
    <row r="157" spans="9:9" x14ac:dyDescent="0.35">
      <c r="I157" s="16"/>
    </row>
    <row r="158" spans="9:9" x14ac:dyDescent="0.35">
      <c r="I158" s="16"/>
    </row>
    <row r="159" spans="9:9" x14ac:dyDescent="0.35">
      <c r="I159" s="16"/>
    </row>
    <row r="160" spans="9:9" x14ac:dyDescent="0.35">
      <c r="I160" s="16"/>
    </row>
    <row r="161" spans="9:9" x14ac:dyDescent="0.35">
      <c r="I161" s="16"/>
    </row>
    <row r="162" spans="9:9" x14ac:dyDescent="0.35">
      <c r="I162" s="16"/>
    </row>
    <row r="163" spans="9:9" x14ac:dyDescent="0.35">
      <c r="I163" s="16"/>
    </row>
    <row r="164" spans="9:9" x14ac:dyDescent="0.35">
      <c r="I164" s="16"/>
    </row>
    <row r="165" spans="9:9" x14ac:dyDescent="0.35">
      <c r="I165" s="16"/>
    </row>
    <row r="166" spans="9:9" x14ac:dyDescent="0.35">
      <c r="I166" s="16"/>
    </row>
    <row r="167" spans="9:9" x14ac:dyDescent="0.35">
      <c r="I167" s="16"/>
    </row>
    <row r="168" spans="9:9" x14ac:dyDescent="0.35">
      <c r="I168" s="16"/>
    </row>
    <row r="169" spans="9:9" x14ac:dyDescent="0.35">
      <c r="I169" s="16"/>
    </row>
    <row r="170" spans="9:9" x14ac:dyDescent="0.35">
      <c r="I170" s="16"/>
    </row>
    <row r="171" spans="9:9" x14ac:dyDescent="0.35">
      <c r="I171" s="16"/>
    </row>
    <row r="172" spans="9:9" x14ac:dyDescent="0.35">
      <c r="I172" s="16"/>
    </row>
  </sheetData>
  <sheetProtection algorithmName="SHA-512" hashValue="VZesHweiWG9yurqkjuJ0wkXDGm4HtcoS0K2zgw2vLDCkbzQWeKvkJTS3SP7G7zi5+367ZRoTn+SpKLf0mGMQ1A==" saltValue="J4i+tPgOnWRIJVhk41zitg==" spinCount="100000" sheet="1" selectLockedCells="1" selectUnlockedCells="1"/>
  <printOptions horizontalCentered="1"/>
  <pageMargins left="0.19685039370078741" right="0.19685039370078741" top="0.78740157480314965" bottom="0.19685039370078741" header="0.31496062992125984" footer="0.31496062992125984"/>
  <pageSetup paperSize="9" orientation="portrait" r:id="rId1"/>
  <ignoredErrors>
    <ignoredError sqref="H6:I8" calculatedColumn="1"/>
  </ignoredErrors>
  <legacy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loxAB_03">
    <tabColor rgb="FFFFFF00"/>
    <pageSetUpPr fitToPage="1"/>
  </sheetPr>
  <dimension ref="B1:AH111"/>
  <sheetViews>
    <sheetView showGridLines="0" showZeros="0" tabSelected="1" zoomScale="80" zoomScaleNormal="80" zoomScaleSheetLayoutView="70" workbookViewId="0">
      <selection activeCell="D4" sqref="D4:F4"/>
    </sheetView>
  </sheetViews>
  <sheetFormatPr defaultColWidth="9.1796875" defaultRowHeight="17.25" customHeight="1" x14ac:dyDescent="0.35"/>
  <cols>
    <col min="1" max="1" width="1.54296875" customWidth="1"/>
    <col min="2" max="2" width="14.81640625" style="4" customWidth="1"/>
    <col min="3" max="3" width="2.54296875" style="4" customWidth="1"/>
    <col min="4" max="4" width="30.81640625" style="4" customWidth="1"/>
    <col min="5" max="5" width="8.984375E-2" style="11" customWidth="1"/>
    <col min="6" max="6" width="14.81640625" style="11" customWidth="1"/>
    <col min="7" max="7" width="1.81640625" style="11" customWidth="1"/>
    <col min="8" max="8" width="16.81640625" style="11" customWidth="1"/>
    <col min="9" max="9" width="1.81640625" style="11" customWidth="1"/>
    <col min="10" max="10" width="18" style="11" customWidth="1"/>
    <col min="11" max="11" width="1.81640625" style="11" customWidth="1"/>
    <col min="12" max="12" width="9" style="11" hidden="1" customWidth="1"/>
    <col min="13" max="13" width="9.1796875" style="95" hidden="1" customWidth="1"/>
    <col min="14" max="14" width="3.453125" style="95" hidden="1" customWidth="1"/>
    <col min="15" max="15" width="9.54296875" style="11" bestFit="1" customWidth="1"/>
    <col min="16" max="16" width="3.54296875" style="95" customWidth="1"/>
    <col min="17" max="17" width="9.1796875" style="11" bestFit="1" customWidth="1"/>
    <col min="18" max="18" width="1.453125" style="95" customWidth="1"/>
    <col min="19" max="19" width="9.1796875" style="95" bestFit="1" customWidth="1"/>
    <col min="20" max="20" width="1.1796875" style="95" customWidth="1"/>
    <col min="21" max="21" width="9.1796875" style="95" customWidth="1"/>
    <col min="22" max="22" width="1.81640625" customWidth="1"/>
    <col min="23" max="23" width="24.7265625" bestFit="1" customWidth="1"/>
    <col min="24" max="24" width="28.81640625" bestFit="1" customWidth="1"/>
    <col min="25" max="25" width="29" bestFit="1" customWidth="1"/>
    <col min="26" max="26" width="11.08984375" customWidth="1"/>
    <col min="27" max="27" width="22.81640625" hidden="1" customWidth="1"/>
    <col min="28" max="28" width="29.1796875" hidden="1" customWidth="1"/>
    <col min="29" max="31" width="19.81640625" hidden="1" customWidth="1"/>
    <col min="32" max="32" width="18.453125" hidden="1" customWidth="1"/>
    <col min="33" max="33" width="18" customWidth="1"/>
    <col min="34" max="34" width="10.54296875" bestFit="1" customWidth="1"/>
  </cols>
  <sheetData>
    <row r="1" spans="2:34" ht="30.75" customHeight="1" x14ac:dyDescent="0.5">
      <c r="B1" s="144"/>
      <c r="C1" s="145" t="s">
        <v>6</v>
      </c>
      <c r="D1" s="146"/>
      <c r="E1" s="147"/>
      <c r="F1" s="147"/>
      <c r="G1" s="147"/>
      <c r="H1" s="147"/>
      <c r="I1" s="147"/>
      <c r="J1" s="147"/>
      <c r="K1" s="147"/>
      <c r="L1" s="147"/>
      <c r="M1" s="148"/>
      <c r="N1" s="148"/>
      <c r="O1" s="147"/>
      <c r="P1" s="148"/>
      <c r="Q1" s="147"/>
      <c r="R1" s="148"/>
      <c r="S1" s="148"/>
      <c r="T1" s="148"/>
      <c r="U1" s="148"/>
    </row>
    <row r="2" spans="2:34" ht="16" thickBot="1" x14ac:dyDescent="0.4">
      <c r="E2" s="130" t="str">
        <f>IF(D29="","","Detailed error message is displayed to the right =&gt;")</f>
        <v/>
      </c>
      <c r="F2" s="2"/>
      <c r="G2" s="2"/>
      <c r="H2" s="2"/>
      <c r="I2" s="2"/>
      <c r="J2" s="1"/>
      <c r="K2" s="1"/>
      <c r="L2" s="1"/>
      <c r="M2" s="32"/>
      <c r="N2" s="32"/>
      <c r="O2" s="1"/>
      <c r="P2" s="32"/>
      <c r="Q2" s="1"/>
      <c r="R2" s="32"/>
      <c r="S2" s="32"/>
      <c r="T2" s="32"/>
      <c r="U2" s="32"/>
    </row>
    <row r="3" spans="2:34" ht="20.149999999999999" customHeight="1" thickBot="1" x14ac:dyDescent="0.4">
      <c r="B3" s="39" t="s">
        <v>7</v>
      </c>
      <c r="C3" s="39"/>
      <c r="D3" s="277" t="s">
        <v>8</v>
      </c>
      <c r="E3" s="277"/>
      <c r="F3" s="277"/>
      <c r="G3" s="277"/>
      <c r="H3" s="277"/>
      <c r="I3" s="39"/>
      <c r="J3" s="39" t="s">
        <v>9</v>
      </c>
      <c r="K3" s="286">
        <v>2025</v>
      </c>
      <c r="L3" s="287"/>
      <c r="M3" s="287"/>
      <c r="N3" s="287"/>
      <c r="O3" s="287"/>
      <c r="P3" s="287"/>
      <c r="Q3" s="287"/>
      <c r="R3" s="287"/>
      <c r="S3" s="287"/>
      <c r="T3" s="287"/>
      <c r="U3" s="288"/>
    </row>
    <row r="4" spans="2:34" ht="20.25" customHeight="1" x14ac:dyDescent="0.35">
      <c r="B4" s="272" t="s">
        <v>10</v>
      </c>
      <c r="C4" s="272"/>
      <c r="D4" s="274"/>
      <c r="E4" s="275"/>
      <c r="F4" s="276"/>
      <c r="G4" s="175"/>
      <c r="H4" s="33" t="s">
        <v>11</v>
      </c>
      <c r="I4" s="175"/>
      <c r="J4" s="199"/>
      <c r="O4" s="33" t="s">
        <v>12</v>
      </c>
      <c r="P4" s="178"/>
      <c r="Q4" s="280"/>
      <c r="R4" s="281"/>
      <c r="S4" s="281"/>
      <c r="T4" s="281"/>
      <c r="U4" s="282"/>
      <c r="V4" s="175"/>
      <c r="W4" s="175"/>
      <c r="X4" s="175"/>
      <c r="Y4" s="175"/>
      <c r="Z4" s="175"/>
      <c r="AA4" s="175"/>
      <c r="AB4" s="175"/>
      <c r="AC4" s="175"/>
      <c r="AD4" s="175"/>
      <c r="AE4" s="175"/>
      <c r="AF4" s="175"/>
      <c r="AG4" s="175"/>
      <c r="AH4" s="175"/>
    </row>
    <row r="5" spans="2:34" ht="26.25" customHeight="1" x14ac:dyDescent="0.35">
      <c r="B5" s="273" t="s">
        <v>13</v>
      </c>
      <c r="C5" s="272"/>
      <c r="D5" s="274"/>
      <c r="E5" s="275"/>
      <c r="F5" s="276"/>
      <c r="G5" s="176"/>
      <c r="H5" s="33" t="s">
        <v>11</v>
      </c>
      <c r="I5" s="175"/>
      <c r="J5" s="199"/>
      <c r="O5" s="33" t="s">
        <v>12</v>
      </c>
      <c r="P5" s="178"/>
      <c r="Q5" s="283"/>
      <c r="R5" s="284"/>
      <c r="S5" s="284"/>
      <c r="T5" s="284"/>
      <c r="U5" s="285"/>
      <c r="V5" s="175"/>
      <c r="W5" s="176"/>
      <c r="Z5" s="176"/>
    </row>
    <row r="6" spans="2:34" ht="31.5" customHeight="1" x14ac:dyDescent="0.35">
      <c r="B6" s="60"/>
      <c r="C6" s="60"/>
      <c r="D6" s="63" t="str">
        <f>IF(OR(Member=0,Supervisor=0,Title.member=0,Title.supervisor=0),"• Missing information – Fill in all names and title/function on the Start Page","")</f>
        <v>• Missing information – Fill in all names and title/function on the Start Page</v>
      </c>
      <c r="E6"/>
      <c r="F6" s="92"/>
      <c r="G6" s="92"/>
      <c r="H6" s="92"/>
      <c r="I6" s="92"/>
      <c r="J6" s="93"/>
      <c r="K6" s="94"/>
      <c r="L6" s="94"/>
      <c r="M6" s="94"/>
      <c r="N6" s="94"/>
      <c r="O6" s="94"/>
      <c r="P6" s="94"/>
      <c r="Q6" s="94"/>
      <c r="R6" s="94"/>
      <c r="S6" s="94"/>
      <c r="T6" s="94"/>
      <c r="U6" s="94"/>
    </row>
    <row r="7" spans="2:34" ht="20.149999999999999" customHeight="1" x14ac:dyDescent="0.35">
      <c r="B7" s="97"/>
      <c r="C7" s="97"/>
      <c r="D7" s="96" t="s">
        <v>14</v>
      </c>
      <c r="E7" s="76"/>
      <c r="F7" s="96" t="s">
        <v>15</v>
      </c>
      <c r="G7" s="76"/>
      <c r="H7" s="96" t="s">
        <v>16</v>
      </c>
      <c r="I7" s="96"/>
      <c r="J7" s="96" t="s">
        <v>17</v>
      </c>
      <c r="K7" s="96"/>
      <c r="L7" s="278"/>
      <c r="M7" s="278"/>
      <c r="N7" s="96"/>
      <c r="O7" s="278" t="s">
        <v>18</v>
      </c>
      <c r="P7" s="279"/>
      <c r="Q7" s="279"/>
      <c r="R7" s="279"/>
      <c r="S7" s="279"/>
      <c r="T7" s="279"/>
      <c r="U7" s="279"/>
      <c r="AA7" s="112" t="s">
        <v>19</v>
      </c>
      <c r="AB7" s="112" t="s">
        <v>20</v>
      </c>
      <c r="AC7" s="112" t="s">
        <v>21</v>
      </c>
      <c r="AD7" s="112" t="s">
        <v>22</v>
      </c>
      <c r="AE7" s="112" t="s">
        <v>23</v>
      </c>
      <c r="AF7" s="112" t="s">
        <v>24</v>
      </c>
    </row>
    <row r="8" spans="2:34" ht="17.149999999999999" customHeight="1" x14ac:dyDescent="0.35">
      <c r="B8" s="131">
        <v>1</v>
      </c>
      <c r="D8" s="101"/>
      <c r="E8" s="212"/>
      <c r="F8" s="101"/>
      <c r="G8" s="76"/>
      <c r="H8" s="101"/>
      <c r="I8" s="102"/>
      <c r="J8" s="101"/>
      <c r="K8" s="96"/>
      <c r="L8" s="268"/>
      <c r="M8" s="270"/>
      <c r="N8" s="97"/>
      <c r="O8" s="268"/>
      <c r="P8" s="269"/>
      <c r="Q8" s="269"/>
      <c r="R8" s="269"/>
      <c r="S8" s="269"/>
      <c r="T8" s="269"/>
      <c r="U8" s="270"/>
      <c r="W8" s="40" t="str">
        <f>IF(AND(AB8="SANT",WP.01=""),"You must enter a WP number!","")</f>
        <v/>
      </c>
      <c r="X8" s="40" t="str">
        <f>IF(AND(Project.01&gt;0,Contract.01=""),"You must enter a Contract number!","")</f>
        <v/>
      </c>
      <c r="Y8" s="40" t="str">
        <f t="shared" ref="Y8:Y26" si="0">IF(AND(D8&gt;0,J8=""),"You must enter a Programme/type!","")</f>
        <v/>
      </c>
      <c r="Z8" s="40" t="str">
        <f>IF(AND(Type.01="FP7",Activity.01=""),"You must enter a FP7 activity!","")</f>
        <v/>
      </c>
      <c r="AA8" s="112">
        <f t="shared" ref="AA8:AA26" si="1">IF(W8="",0,1)</f>
        <v>0</v>
      </c>
      <c r="AB8" s="112" t="str">
        <f>IF(OR(Type.01="H2020",Type.01="HEU"),"SANT","FALSKT")</f>
        <v>FALSKT</v>
      </c>
      <c r="AC8" s="112">
        <f t="shared" ref="AC8:AC26" si="2">IF(X8="",0,1)</f>
        <v>0</v>
      </c>
      <c r="AD8" s="112">
        <f t="shared" ref="AD8:AD26" si="3">IF(Y8="",0,1)</f>
        <v>0</v>
      </c>
      <c r="AE8" s="112">
        <f t="shared" ref="AE8:AE26" si="4">IF(Z8="",0,1)</f>
        <v>0</v>
      </c>
      <c r="AF8" s="112">
        <f t="shared" ref="AF8:AF26" si="5">IF(D8="",0,1)</f>
        <v>0</v>
      </c>
    </row>
    <row r="9" spans="2:34" ht="17.149999999999999" customHeight="1" x14ac:dyDescent="0.35">
      <c r="B9" s="131">
        <v>2</v>
      </c>
      <c r="D9" s="101"/>
      <c r="E9" s="212"/>
      <c r="F9" s="101"/>
      <c r="G9" s="76"/>
      <c r="H9" s="101"/>
      <c r="I9" s="103"/>
      <c r="J9" s="101"/>
      <c r="K9" s="96"/>
      <c r="L9" s="268"/>
      <c r="M9" s="270"/>
      <c r="N9" s="97"/>
      <c r="O9" s="268"/>
      <c r="P9" s="269"/>
      <c r="Q9" s="269"/>
      <c r="R9" s="269"/>
      <c r="S9" s="269"/>
      <c r="T9" s="269"/>
      <c r="U9" s="270"/>
      <c r="W9" s="40" t="str">
        <f>IF(AND(AB9="SANT",WP.02=""),"You must enter a WP number!","")</f>
        <v/>
      </c>
      <c r="X9" s="40" t="str">
        <f>IF(AND(Project.02&gt;0,Contract.02=""),"You must enter a Contract number!","")</f>
        <v/>
      </c>
      <c r="Y9" s="40" t="str">
        <f t="shared" si="0"/>
        <v/>
      </c>
      <c r="Z9" s="40" t="str">
        <f>IF(AND(Type.02="FP7",Activity.02=""),"You must enter a FP7 activity!","")</f>
        <v/>
      </c>
      <c r="AA9" s="112">
        <f t="shared" si="1"/>
        <v>0</v>
      </c>
      <c r="AB9" s="112" t="str">
        <f>IF(OR(Type.02="H2020",Type.02="HEU"),"SANT","FALSKT")</f>
        <v>FALSKT</v>
      </c>
      <c r="AC9" s="112">
        <f t="shared" si="2"/>
        <v>0</v>
      </c>
      <c r="AD9" s="112">
        <f t="shared" si="3"/>
        <v>0</v>
      </c>
      <c r="AE9" s="112">
        <f t="shared" si="4"/>
        <v>0</v>
      </c>
      <c r="AF9" s="112">
        <f t="shared" si="5"/>
        <v>0</v>
      </c>
    </row>
    <row r="10" spans="2:34" ht="17.149999999999999" customHeight="1" x14ac:dyDescent="0.35">
      <c r="B10" s="131">
        <v>3</v>
      </c>
      <c r="D10" s="101"/>
      <c r="E10" s="212"/>
      <c r="F10" s="101"/>
      <c r="G10" s="76"/>
      <c r="H10" s="101"/>
      <c r="I10" s="103"/>
      <c r="J10" s="101"/>
      <c r="K10" s="96"/>
      <c r="L10" s="268"/>
      <c r="M10" s="270"/>
      <c r="N10" s="97"/>
      <c r="O10" s="268"/>
      <c r="P10" s="269"/>
      <c r="Q10" s="269"/>
      <c r="R10" s="269"/>
      <c r="S10" s="269"/>
      <c r="T10" s="269"/>
      <c r="U10" s="270"/>
      <c r="W10" s="40" t="str">
        <f>IF(AND(AB10="SANT",WP.03=""),"You must enter a WP number!","")</f>
        <v/>
      </c>
      <c r="X10" s="40" t="str">
        <f>IF(AND(Project.03&gt;0,Contract.03=""),"You must enter a Contract number!","")</f>
        <v/>
      </c>
      <c r="Y10" s="40" t="str">
        <f t="shared" si="0"/>
        <v/>
      </c>
      <c r="Z10" s="40" t="str">
        <f>IF(AND(Type.03="FP7",Activity.03=""),"You must enter a FP7 activity!","")</f>
        <v/>
      </c>
      <c r="AA10" s="112">
        <f t="shared" si="1"/>
        <v>0</v>
      </c>
      <c r="AB10" s="112" t="str">
        <f>IF(OR(Type.03="H2020",Type.03="HEU"),"SANT","FALSKT")</f>
        <v>FALSKT</v>
      </c>
      <c r="AC10" s="112">
        <f t="shared" si="2"/>
        <v>0</v>
      </c>
      <c r="AD10" s="112">
        <f t="shared" si="3"/>
        <v>0</v>
      </c>
      <c r="AE10" s="112">
        <f t="shared" si="4"/>
        <v>0</v>
      </c>
      <c r="AF10" s="112">
        <f t="shared" si="5"/>
        <v>0</v>
      </c>
    </row>
    <row r="11" spans="2:34" ht="17.149999999999999" customHeight="1" x14ac:dyDescent="0.35">
      <c r="B11" s="131">
        <v>4</v>
      </c>
      <c r="D11" s="101"/>
      <c r="E11" s="212"/>
      <c r="F11" s="101"/>
      <c r="G11" s="76"/>
      <c r="H11" s="101"/>
      <c r="I11" s="103"/>
      <c r="J11" s="101"/>
      <c r="K11" s="96"/>
      <c r="L11" s="268"/>
      <c r="M11" s="270"/>
      <c r="N11" s="97"/>
      <c r="O11" s="268"/>
      <c r="P11" s="269"/>
      <c r="Q11" s="269"/>
      <c r="R11" s="269"/>
      <c r="S11" s="269"/>
      <c r="T11" s="269"/>
      <c r="U11" s="270"/>
      <c r="W11" s="40" t="str">
        <f>IF(AND(AB11="SANT",WP.04=""),"You must enter a WP number!","")</f>
        <v/>
      </c>
      <c r="X11" s="40" t="str">
        <f>IF(AND(Project.04&gt;0,Contract.04=""),"You must enter a Contract number!","")</f>
        <v/>
      </c>
      <c r="Y11" s="40" t="str">
        <f t="shared" si="0"/>
        <v/>
      </c>
      <c r="Z11" s="40" t="str">
        <f>IF(AND(Type.04="FP7",Activity.04=""),"You must enter a FP7 activity!","")</f>
        <v/>
      </c>
      <c r="AA11" s="112">
        <f t="shared" si="1"/>
        <v>0</v>
      </c>
      <c r="AB11" s="112" t="str">
        <f>IF(OR(Type.04="H2020",Type.04="HEU"),"SANT","FALSKT")</f>
        <v>FALSKT</v>
      </c>
      <c r="AC11" s="112">
        <f t="shared" si="2"/>
        <v>0</v>
      </c>
      <c r="AD11" s="112">
        <f t="shared" si="3"/>
        <v>0</v>
      </c>
      <c r="AE11" s="112">
        <f t="shared" si="4"/>
        <v>0</v>
      </c>
      <c r="AF11" s="112">
        <f t="shared" si="5"/>
        <v>0</v>
      </c>
    </row>
    <row r="12" spans="2:34" ht="17.149999999999999" customHeight="1" x14ac:dyDescent="0.35">
      <c r="B12" s="131">
        <v>5</v>
      </c>
      <c r="D12" s="101"/>
      <c r="E12" s="212"/>
      <c r="F12" s="101"/>
      <c r="G12" s="76"/>
      <c r="H12" s="101"/>
      <c r="I12" s="103"/>
      <c r="J12" s="101"/>
      <c r="K12" s="96"/>
      <c r="L12" s="268"/>
      <c r="M12" s="270"/>
      <c r="N12" s="97"/>
      <c r="O12" s="268"/>
      <c r="P12" s="269"/>
      <c r="Q12" s="269"/>
      <c r="R12" s="269"/>
      <c r="S12" s="269"/>
      <c r="T12" s="269"/>
      <c r="U12" s="270"/>
      <c r="W12" s="40" t="str">
        <f>IF(AND(AB12="SANT",WP.05=""),"You must enter a WP number!","")</f>
        <v/>
      </c>
      <c r="X12" s="40" t="str">
        <f>IF(AND(Project.05&gt;0,Contract.05=""),"You must enter a Contract number!","")</f>
        <v/>
      </c>
      <c r="Y12" s="40" t="str">
        <f t="shared" si="0"/>
        <v/>
      </c>
      <c r="Z12" s="40" t="str">
        <f>IF(AND(Type.05="FP7",Activity.05=""),"You must enter a FP7 activity!","")</f>
        <v/>
      </c>
      <c r="AA12" s="112">
        <f t="shared" si="1"/>
        <v>0</v>
      </c>
      <c r="AB12" s="112" t="str">
        <f>IF(OR(Type.05="H2020",Type.05="HEU"),"SANT","FALSKT")</f>
        <v>FALSKT</v>
      </c>
      <c r="AC12" s="112">
        <f t="shared" si="2"/>
        <v>0</v>
      </c>
      <c r="AD12" s="112">
        <f t="shared" si="3"/>
        <v>0</v>
      </c>
      <c r="AE12" s="112">
        <f t="shared" si="4"/>
        <v>0</v>
      </c>
      <c r="AF12" s="112">
        <f t="shared" si="5"/>
        <v>0</v>
      </c>
    </row>
    <row r="13" spans="2:34" ht="17.149999999999999" customHeight="1" x14ac:dyDescent="0.35">
      <c r="B13" s="131">
        <v>6</v>
      </c>
      <c r="D13" s="101"/>
      <c r="E13" s="212"/>
      <c r="F13" s="101"/>
      <c r="G13" s="76"/>
      <c r="H13" s="101"/>
      <c r="I13" s="103"/>
      <c r="J13" s="101"/>
      <c r="K13" s="96"/>
      <c r="L13" s="268"/>
      <c r="M13" s="270"/>
      <c r="N13" s="97"/>
      <c r="O13" s="268"/>
      <c r="P13" s="269"/>
      <c r="Q13" s="269"/>
      <c r="R13" s="269"/>
      <c r="S13" s="269"/>
      <c r="T13" s="269"/>
      <c r="U13" s="270"/>
      <c r="W13" s="40" t="str">
        <f>IF(AND(AB13="SANT",WP.06=""),"You must enter a WP number!","")</f>
        <v/>
      </c>
      <c r="X13" s="40" t="str">
        <f>IF(AND(Project.06&gt;0,Contract.06=""),"You must enter a Contract number!","")</f>
        <v/>
      </c>
      <c r="Y13" s="40" t="str">
        <f t="shared" si="0"/>
        <v/>
      </c>
      <c r="Z13" s="40" t="str">
        <f>IF(AND(Type.06="FP7",Activity.06=""),"You must enter a FP7 activity!","")</f>
        <v/>
      </c>
      <c r="AA13" s="112">
        <f t="shared" si="1"/>
        <v>0</v>
      </c>
      <c r="AB13" s="112" t="str">
        <f>IF(OR(Type.06="H2020",Type.06="HEU"),"SANT","FALSKT")</f>
        <v>FALSKT</v>
      </c>
      <c r="AC13" s="112">
        <f t="shared" si="2"/>
        <v>0</v>
      </c>
      <c r="AD13" s="112">
        <f t="shared" si="3"/>
        <v>0</v>
      </c>
      <c r="AE13" s="112">
        <f t="shared" si="4"/>
        <v>0</v>
      </c>
      <c r="AF13" s="112">
        <f t="shared" si="5"/>
        <v>0</v>
      </c>
    </row>
    <row r="14" spans="2:34" ht="17.149999999999999" customHeight="1" x14ac:dyDescent="0.35">
      <c r="B14" s="131">
        <v>7</v>
      </c>
      <c r="D14" s="101"/>
      <c r="E14" s="212"/>
      <c r="F14" s="101"/>
      <c r="G14" s="76"/>
      <c r="H14" s="101"/>
      <c r="I14" s="103"/>
      <c r="J14" s="101"/>
      <c r="K14" s="96"/>
      <c r="L14" s="268"/>
      <c r="M14" s="270"/>
      <c r="N14" s="97"/>
      <c r="O14" s="268"/>
      <c r="P14" s="269"/>
      <c r="Q14" s="269"/>
      <c r="R14" s="269"/>
      <c r="S14" s="269"/>
      <c r="T14" s="269"/>
      <c r="U14" s="270"/>
      <c r="W14" s="40" t="str">
        <f>IF(AND(AB14="SANT",WP.07=""),"You must enter a WP number!","")</f>
        <v/>
      </c>
      <c r="X14" s="40" t="str">
        <f>IF(AND(Project.07&gt;0,Contract.07=""),"You must enter a Contract number!","")</f>
        <v/>
      </c>
      <c r="Y14" s="40" t="str">
        <f t="shared" si="0"/>
        <v/>
      </c>
      <c r="Z14" s="40" t="str">
        <f>IF(AND(Type.07="FP7",Activity.07=""),"You must enter a FP7 activity!","")</f>
        <v/>
      </c>
      <c r="AA14" s="112">
        <f t="shared" si="1"/>
        <v>0</v>
      </c>
      <c r="AB14" s="112" t="str">
        <f>IF(OR(Type.07="H2020",Type.07="HEU"),"SANT","FALSKT")</f>
        <v>FALSKT</v>
      </c>
      <c r="AC14" s="112">
        <f t="shared" si="2"/>
        <v>0</v>
      </c>
      <c r="AD14" s="112">
        <f t="shared" si="3"/>
        <v>0</v>
      </c>
      <c r="AE14" s="112">
        <f t="shared" si="4"/>
        <v>0</v>
      </c>
      <c r="AF14" s="112">
        <f t="shared" si="5"/>
        <v>0</v>
      </c>
    </row>
    <row r="15" spans="2:34" ht="17.149999999999999" customHeight="1" x14ac:dyDescent="0.35">
      <c r="B15" s="131">
        <v>8</v>
      </c>
      <c r="D15" s="101"/>
      <c r="E15" s="213"/>
      <c r="F15" s="101"/>
      <c r="G15" s="76"/>
      <c r="H15" s="101"/>
      <c r="I15" s="103"/>
      <c r="J15" s="101"/>
      <c r="K15" s="96"/>
      <c r="L15" s="268"/>
      <c r="M15" s="270"/>
      <c r="N15" s="97"/>
      <c r="O15" s="268"/>
      <c r="P15" s="269"/>
      <c r="Q15" s="269"/>
      <c r="R15" s="269"/>
      <c r="S15" s="269"/>
      <c r="T15" s="269"/>
      <c r="U15" s="270"/>
      <c r="W15" s="40" t="str">
        <f>IF(AND(AB15="SANT",WP.08=""),"You must enter a WP number!","")</f>
        <v/>
      </c>
      <c r="X15" s="40" t="str">
        <f>IF(AND(Project.08&gt;0,Contract.08=""),"You must enter a Contract number!","")</f>
        <v/>
      </c>
      <c r="Y15" s="40" t="str">
        <f t="shared" si="0"/>
        <v/>
      </c>
      <c r="Z15" s="40" t="str">
        <f>IF(AND(Type.08="FP7",Activity.08=""),"You must enter a FP7 activity!","")</f>
        <v/>
      </c>
      <c r="AA15" s="112">
        <f t="shared" si="1"/>
        <v>0</v>
      </c>
      <c r="AB15" s="112" t="str">
        <f>IF(OR(Type.08="H2020",Type.08="HEU"),"SANT","FALSKT")</f>
        <v>FALSKT</v>
      </c>
      <c r="AC15" s="112">
        <f t="shared" si="2"/>
        <v>0</v>
      </c>
      <c r="AD15" s="112">
        <f t="shared" si="3"/>
        <v>0</v>
      </c>
      <c r="AE15" s="112">
        <f t="shared" si="4"/>
        <v>0</v>
      </c>
      <c r="AF15" s="112">
        <f t="shared" si="5"/>
        <v>0</v>
      </c>
    </row>
    <row r="16" spans="2:34" ht="17.149999999999999" customHeight="1" x14ac:dyDescent="0.35">
      <c r="B16" s="131">
        <v>9</v>
      </c>
      <c r="D16" s="101"/>
      <c r="E16" s="213"/>
      <c r="F16" s="101"/>
      <c r="G16" s="76"/>
      <c r="H16" s="101"/>
      <c r="I16" s="103"/>
      <c r="J16" s="101"/>
      <c r="K16" s="96"/>
      <c r="L16" s="268"/>
      <c r="M16" s="270"/>
      <c r="N16" s="97"/>
      <c r="O16" s="268"/>
      <c r="P16" s="269"/>
      <c r="Q16" s="269"/>
      <c r="R16" s="269"/>
      <c r="S16" s="269"/>
      <c r="T16" s="269"/>
      <c r="U16" s="270"/>
      <c r="W16" s="40" t="str">
        <f>IF(AND(AB16="SANT",WP.09=""),"You must enter a WP number!","")</f>
        <v/>
      </c>
      <c r="X16" s="40" t="str">
        <f>IF(AND(Project.09&gt;0,Contract.09=""),"You must enter a Contract number!","")</f>
        <v/>
      </c>
      <c r="Y16" s="40" t="str">
        <f t="shared" si="0"/>
        <v/>
      </c>
      <c r="Z16" s="40" t="str">
        <f>IF(AND(Type.09="FP7",Activity.09=""),"You must enter a FP7 activity!","")</f>
        <v/>
      </c>
      <c r="AA16" s="112">
        <f t="shared" si="1"/>
        <v>0</v>
      </c>
      <c r="AB16" s="112" t="str">
        <f>IF(OR(Type.09="H2020",Type.09="HEU"),"SANT","FALSKT")</f>
        <v>FALSKT</v>
      </c>
      <c r="AC16" s="112">
        <f t="shared" si="2"/>
        <v>0</v>
      </c>
      <c r="AD16" s="112">
        <f t="shared" si="3"/>
        <v>0</v>
      </c>
      <c r="AE16" s="112">
        <f t="shared" si="4"/>
        <v>0</v>
      </c>
      <c r="AF16" s="112">
        <f t="shared" si="5"/>
        <v>0</v>
      </c>
    </row>
    <row r="17" spans="2:33" ht="17.149999999999999" customHeight="1" x14ac:dyDescent="0.35">
      <c r="B17" s="131">
        <v>10</v>
      </c>
      <c r="D17" s="101"/>
      <c r="E17" s="214"/>
      <c r="F17" s="101"/>
      <c r="G17" s="97"/>
      <c r="H17" s="101"/>
      <c r="I17" s="97"/>
      <c r="J17" s="101"/>
      <c r="K17" s="96"/>
      <c r="L17" s="268"/>
      <c r="M17" s="270"/>
      <c r="N17" s="76"/>
      <c r="O17" s="268"/>
      <c r="P17" s="269"/>
      <c r="Q17" s="269"/>
      <c r="R17" s="269"/>
      <c r="S17" s="269"/>
      <c r="T17" s="269"/>
      <c r="U17" s="270"/>
      <c r="W17" s="40" t="str">
        <f>IF(AND(AB17="SANT",WP.10=""),"You must enter a WP number!","")</f>
        <v/>
      </c>
      <c r="X17" s="40" t="str">
        <f>IF(AND(Project.10&gt;0,Contract.10=""),"You must enter a Contract number!","")</f>
        <v/>
      </c>
      <c r="Y17" s="40" t="str">
        <f t="shared" si="0"/>
        <v/>
      </c>
      <c r="Z17" s="40" t="str">
        <f>IF(AND(Type.10="FP7",Activity.10=""),"You must enter a FP7 activity!","")</f>
        <v/>
      </c>
      <c r="AA17" s="112">
        <f t="shared" si="1"/>
        <v>0</v>
      </c>
      <c r="AB17" s="112" t="str">
        <f>IF(OR(Type.10="H2020",Type.10="HEU"),"SANT","FALSKT")</f>
        <v>FALSKT</v>
      </c>
      <c r="AC17" s="112">
        <f t="shared" si="2"/>
        <v>0</v>
      </c>
      <c r="AD17" s="112">
        <f t="shared" si="3"/>
        <v>0</v>
      </c>
      <c r="AE17" s="112">
        <f t="shared" si="4"/>
        <v>0</v>
      </c>
      <c r="AF17" s="112">
        <f t="shared" si="5"/>
        <v>0</v>
      </c>
    </row>
    <row r="18" spans="2:33" ht="17.149999999999999" customHeight="1" x14ac:dyDescent="0.35">
      <c r="B18" s="131">
        <v>11</v>
      </c>
      <c r="D18" s="101"/>
      <c r="E18" s="214"/>
      <c r="F18" s="101"/>
      <c r="G18" s="76"/>
      <c r="H18" s="101"/>
      <c r="I18" s="76"/>
      <c r="J18" s="101"/>
      <c r="K18" s="96"/>
      <c r="L18" s="268"/>
      <c r="M18" s="270"/>
      <c r="N18" s="99"/>
      <c r="O18" s="268"/>
      <c r="P18" s="269"/>
      <c r="Q18" s="269"/>
      <c r="R18" s="269"/>
      <c r="S18" s="269"/>
      <c r="T18" s="269"/>
      <c r="U18" s="270"/>
      <c r="W18" s="40" t="str">
        <f>IF(AND(AB18="SANT",WP.11=""),"You must enter a WP number!","")</f>
        <v/>
      </c>
      <c r="X18" s="40" t="str">
        <f>IF(AND(Project.11&gt;0,Contract.11=""),"You must enter a Contract number!","")</f>
        <v/>
      </c>
      <c r="Y18" s="40" t="str">
        <f t="shared" si="0"/>
        <v/>
      </c>
      <c r="Z18" s="40" t="str">
        <f>IF(AND(Type.11="FP7",Activity.11=""),"You must enter a FP7 activity!","")</f>
        <v/>
      </c>
      <c r="AA18" s="112">
        <f t="shared" si="1"/>
        <v>0</v>
      </c>
      <c r="AB18" s="112" t="str">
        <f>IF(OR(Type.11="H2020",Type.11="HEU"),"SANT","FALSKT")</f>
        <v>FALSKT</v>
      </c>
      <c r="AC18" s="112">
        <f t="shared" si="2"/>
        <v>0</v>
      </c>
      <c r="AD18" s="112">
        <f t="shared" si="3"/>
        <v>0</v>
      </c>
      <c r="AE18" s="112">
        <f t="shared" si="4"/>
        <v>0</v>
      </c>
      <c r="AF18" s="112">
        <f t="shared" si="5"/>
        <v>0</v>
      </c>
    </row>
    <row r="19" spans="2:33" s="6" customFormat="1" ht="17.149999999999999" customHeight="1" x14ac:dyDescent="0.35">
      <c r="B19" s="131">
        <v>12</v>
      </c>
      <c r="D19" s="101"/>
      <c r="E19" s="215"/>
      <c r="F19" s="101"/>
      <c r="G19" s="105"/>
      <c r="H19" s="101"/>
      <c r="I19" s="105"/>
      <c r="J19" s="101"/>
      <c r="K19" s="96"/>
      <c r="L19" s="268"/>
      <c r="M19" s="270"/>
      <c r="N19" s="100"/>
      <c r="O19" s="268"/>
      <c r="P19" s="269"/>
      <c r="Q19" s="269"/>
      <c r="R19" s="269"/>
      <c r="S19" s="269"/>
      <c r="T19" s="269"/>
      <c r="U19" s="270"/>
      <c r="W19" s="40" t="str">
        <f>IF(AND(AB19="SANT",WP.12=""),"You must enter a WP number!","")</f>
        <v/>
      </c>
      <c r="X19" s="40" t="str">
        <f>IF(AND(Project.12&gt;0,Contract.12=""),"You must enter a Contract number!","")</f>
        <v/>
      </c>
      <c r="Y19" s="40" t="str">
        <f t="shared" si="0"/>
        <v/>
      </c>
      <c r="Z19" s="40" t="str">
        <f>IF(AND(Type.12="FP7",Activity.12=""),"You must enter a FP7 activity!","")</f>
        <v/>
      </c>
      <c r="AA19" s="112">
        <f t="shared" si="1"/>
        <v>0</v>
      </c>
      <c r="AB19" s="112" t="str">
        <f>IF(OR(Type.12="H2020",Type.12="HEU"),"SANT","FALSKT")</f>
        <v>FALSKT</v>
      </c>
      <c r="AC19" s="112">
        <f t="shared" si="2"/>
        <v>0</v>
      </c>
      <c r="AD19" s="112">
        <f t="shared" si="3"/>
        <v>0</v>
      </c>
      <c r="AE19" s="112">
        <f t="shared" si="4"/>
        <v>0</v>
      </c>
      <c r="AF19" s="112">
        <f t="shared" si="5"/>
        <v>0</v>
      </c>
      <c r="AG19"/>
    </row>
    <row r="20" spans="2:33" ht="17.149999999999999" customHeight="1" x14ac:dyDescent="0.35">
      <c r="B20" s="131">
        <v>13</v>
      </c>
      <c r="D20" s="101"/>
      <c r="E20" s="212"/>
      <c r="F20" s="101"/>
      <c r="G20" s="76"/>
      <c r="H20" s="101"/>
      <c r="I20" s="76"/>
      <c r="J20" s="101"/>
      <c r="K20" s="96"/>
      <c r="L20" s="268"/>
      <c r="M20" s="270"/>
      <c r="N20" s="99"/>
      <c r="O20" s="268"/>
      <c r="P20" s="269"/>
      <c r="Q20" s="269"/>
      <c r="R20" s="269"/>
      <c r="S20" s="269"/>
      <c r="T20" s="269"/>
      <c r="U20" s="270"/>
      <c r="W20" s="40" t="str">
        <f>IF(AND(AB20="SANT",WP.13=""),"You must enter a WP number!","")</f>
        <v/>
      </c>
      <c r="X20" s="40" t="str">
        <f>IF(AND(Project.13&gt;0,Contract.13=""),"You must enter a Contract number!","")</f>
        <v/>
      </c>
      <c r="Y20" s="40" t="str">
        <f t="shared" si="0"/>
        <v/>
      </c>
      <c r="Z20" s="40" t="str">
        <f>IF(AND(Type.13="FP7",Activity.13=""),"You must enter a FP7 activity!","")</f>
        <v/>
      </c>
      <c r="AA20" s="112">
        <f t="shared" si="1"/>
        <v>0</v>
      </c>
      <c r="AB20" s="112" t="str">
        <f>IF(OR(Type.13="H2020",Type.13="HEU"),"SANT","FALSKT")</f>
        <v>FALSKT</v>
      </c>
      <c r="AC20" s="112">
        <f t="shared" si="2"/>
        <v>0</v>
      </c>
      <c r="AD20" s="112">
        <f t="shared" si="3"/>
        <v>0</v>
      </c>
      <c r="AE20" s="112">
        <f t="shared" si="4"/>
        <v>0</v>
      </c>
      <c r="AF20" s="112">
        <f t="shared" si="5"/>
        <v>0</v>
      </c>
    </row>
    <row r="21" spans="2:33" ht="17.149999999999999" customHeight="1" x14ac:dyDescent="0.35">
      <c r="B21" s="131">
        <v>14</v>
      </c>
      <c r="D21" s="101"/>
      <c r="E21" s="216"/>
      <c r="F21" s="101"/>
      <c r="G21" s="106"/>
      <c r="H21" s="101"/>
      <c r="I21" s="106"/>
      <c r="J21" s="101"/>
      <c r="K21" s="96"/>
      <c r="L21" s="268"/>
      <c r="M21" s="270"/>
      <c r="N21" s="106"/>
      <c r="O21" s="268"/>
      <c r="P21" s="269"/>
      <c r="Q21" s="269"/>
      <c r="R21" s="269"/>
      <c r="S21" s="269"/>
      <c r="T21" s="269"/>
      <c r="U21" s="270"/>
      <c r="W21" s="40" t="str">
        <f>IF(AND(AB21="SANT",WP.14=""),"You must enter a WP number!","")</f>
        <v/>
      </c>
      <c r="X21" s="40" t="str">
        <f>IF(AND(Project.14&gt;0,Contract.14=""),"You must enter a Contract number!","")</f>
        <v/>
      </c>
      <c r="Y21" s="40" t="str">
        <f t="shared" si="0"/>
        <v/>
      </c>
      <c r="Z21" s="40" t="str">
        <f>IF(AND(Type.14="FP7",Activity.14=""),"You must enter a FP7 activity!","")</f>
        <v/>
      </c>
      <c r="AA21" s="112">
        <f t="shared" si="1"/>
        <v>0</v>
      </c>
      <c r="AB21" s="112" t="str">
        <f>IF(OR(Type.14="H2020",Type.14="HEU"),"SANT","FALSKT")</f>
        <v>FALSKT</v>
      </c>
      <c r="AC21" s="112">
        <f t="shared" si="2"/>
        <v>0</v>
      </c>
      <c r="AD21" s="112">
        <f t="shared" si="3"/>
        <v>0</v>
      </c>
      <c r="AE21" s="112">
        <f t="shared" si="4"/>
        <v>0</v>
      </c>
      <c r="AF21" s="112">
        <f t="shared" si="5"/>
        <v>0</v>
      </c>
    </row>
    <row r="22" spans="2:33" ht="17.149999999999999" customHeight="1" x14ac:dyDescent="0.35">
      <c r="B22" s="131">
        <v>15</v>
      </c>
      <c r="D22" s="101"/>
      <c r="E22" s="212"/>
      <c r="F22" s="101"/>
      <c r="G22" s="76"/>
      <c r="H22" s="101"/>
      <c r="I22" s="76"/>
      <c r="J22" s="101"/>
      <c r="K22" s="96"/>
      <c r="L22" s="268"/>
      <c r="M22" s="270"/>
      <c r="N22" s="99"/>
      <c r="O22" s="268"/>
      <c r="P22" s="269"/>
      <c r="Q22" s="269"/>
      <c r="R22" s="269"/>
      <c r="S22" s="269"/>
      <c r="T22" s="269"/>
      <c r="U22" s="270"/>
      <c r="W22" s="40" t="str">
        <f>IF(AND(AB22="SANT",WP.15=""),"You must enter a WP number!","")</f>
        <v/>
      </c>
      <c r="X22" s="40" t="str">
        <f>IF(AND(Project.15&gt;0,Contract.15=""),"You must enter a Contract number!","")</f>
        <v/>
      </c>
      <c r="Y22" s="40" t="str">
        <f t="shared" si="0"/>
        <v/>
      </c>
      <c r="Z22" s="40" t="str">
        <f>IF(AND(Type.15="FP7",Activity.15=""),"You must enter a FP7 activity!","")</f>
        <v/>
      </c>
      <c r="AA22" s="112">
        <f t="shared" si="1"/>
        <v>0</v>
      </c>
      <c r="AB22" s="112" t="str">
        <f>IF(OR(Type.15="H2020",Type.15="HEU"),"SANT","FALSKT")</f>
        <v>FALSKT</v>
      </c>
      <c r="AC22" s="112">
        <f t="shared" si="2"/>
        <v>0</v>
      </c>
      <c r="AD22" s="112">
        <f t="shared" si="3"/>
        <v>0</v>
      </c>
      <c r="AE22" s="112">
        <f t="shared" si="4"/>
        <v>0</v>
      </c>
      <c r="AF22" s="112">
        <f t="shared" si="5"/>
        <v>0</v>
      </c>
    </row>
    <row r="23" spans="2:33" ht="17.149999999999999" customHeight="1" x14ac:dyDescent="0.35">
      <c r="B23" s="131">
        <v>16</v>
      </c>
      <c r="D23" s="101"/>
      <c r="E23" s="212"/>
      <c r="F23" s="101"/>
      <c r="G23" s="76"/>
      <c r="H23" s="101"/>
      <c r="I23" s="76"/>
      <c r="J23" s="101"/>
      <c r="K23" s="96"/>
      <c r="L23" s="268"/>
      <c r="M23" s="270"/>
      <c r="N23" s="99"/>
      <c r="O23" s="268"/>
      <c r="P23" s="269"/>
      <c r="Q23" s="269"/>
      <c r="R23" s="269"/>
      <c r="S23" s="269"/>
      <c r="T23" s="269"/>
      <c r="U23" s="270"/>
      <c r="W23" s="40" t="str">
        <f>IF(AND(AB23="SANT",WP.16=""),"You must enter a WP number!","")</f>
        <v/>
      </c>
      <c r="X23" s="40" t="str">
        <f>IF(AND(Project.16&gt;0,Contract.16=""),"You must enter a Contract number!","")</f>
        <v/>
      </c>
      <c r="Y23" s="40" t="str">
        <f t="shared" si="0"/>
        <v/>
      </c>
      <c r="Z23" s="40" t="str">
        <f>IF(AND(Type.16="FP7",Activity.16=""),"You must enter a FP7 activity!","")</f>
        <v/>
      </c>
      <c r="AA23" s="112">
        <f t="shared" si="1"/>
        <v>0</v>
      </c>
      <c r="AB23" s="112" t="str">
        <f>IF(OR(Type.16="H2020",Type.16="HEU"),"SANT","FALSKT")</f>
        <v>FALSKT</v>
      </c>
      <c r="AC23" s="112">
        <f t="shared" si="2"/>
        <v>0</v>
      </c>
      <c r="AD23" s="112">
        <f t="shared" si="3"/>
        <v>0</v>
      </c>
      <c r="AE23" s="112">
        <f t="shared" si="4"/>
        <v>0</v>
      </c>
      <c r="AF23" s="112">
        <f t="shared" si="5"/>
        <v>0</v>
      </c>
    </row>
    <row r="24" spans="2:33" ht="17.149999999999999" customHeight="1" x14ac:dyDescent="0.35">
      <c r="B24" s="131">
        <v>17</v>
      </c>
      <c r="D24" s="101"/>
      <c r="E24" s="212"/>
      <c r="F24" s="101"/>
      <c r="G24" s="76"/>
      <c r="H24" s="101"/>
      <c r="I24" s="76"/>
      <c r="J24" s="101"/>
      <c r="K24" s="96"/>
      <c r="L24" s="268"/>
      <c r="M24" s="270"/>
      <c r="N24" s="99"/>
      <c r="O24" s="268"/>
      <c r="P24" s="269"/>
      <c r="Q24" s="269"/>
      <c r="R24" s="269"/>
      <c r="S24" s="269"/>
      <c r="T24" s="269"/>
      <c r="U24" s="270"/>
      <c r="W24" s="40" t="str">
        <f>IF(AND(AB24="SANT",WP.17=""),"You must enter a WP number!","")</f>
        <v/>
      </c>
      <c r="X24" s="40" t="str">
        <f>IF(AND(Project.17&gt;0,Contract.17=""),"You must enter a Contract number!","")</f>
        <v/>
      </c>
      <c r="Y24" s="40" t="str">
        <f t="shared" si="0"/>
        <v/>
      </c>
      <c r="Z24" s="40" t="str">
        <f>IF(AND(Type.17="FP7",Activity.17=""),"You must enter a FP7 activity!","")</f>
        <v/>
      </c>
      <c r="AA24" s="112">
        <f t="shared" si="1"/>
        <v>0</v>
      </c>
      <c r="AB24" s="112" t="str">
        <f>IF(OR(Type.17="H2020",Type.17="HEU"),"SANT","FALSKT")</f>
        <v>FALSKT</v>
      </c>
      <c r="AC24" s="112">
        <f t="shared" si="2"/>
        <v>0</v>
      </c>
      <c r="AD24" s="112">
        <f t="shared" si="3"/>
        <v>0</v>
      </c>
      <c r="AE24" s="112">
        <f t="shared" si="4"/>
        <v>0</v>
      </c>
      <c r="AF24" s="112">
        <f t="shared" si="5"/>
        <v>0</v>
      </c>
    </row>
    <row r="25" spans="2:33" ht="17.149999999999999" customHeight="1" x14ac:dyDescent="0.35">
      <c r="B25" s="131">
        <v>18</v>
      </c>
      <c r="D25" s="101"/>
      <c r="E25" s="212"/>
      <c r="F25" s="101"/>
      <c r="G25" s="76"/>
      <c r="H25" s="101"/>
      <c r="I25" s="76"/>
      <c r="J25" s="101"/>
      <c r="K25" s="96"/>
      <c r="L25" s="268"/>
      <c r="M25" s="270"/>
      <c r="N25" s="99"/>
      <c r="O25" s="268"/>
      <c r="P25" s="269"/>
      <c r="Q25" s="269"/>
      <c r="R25" s="269"/>
      <c r="S25" s="269"/>
      <c r="T25" s="269"/>
      <c r="U25" s="270"/>
      <c r="W25" s="40" t="str">
        <f>IF(AND(AB25="SANT",WP.18=""),"You must enter a WP number!","")</f>
        <v/>
      </c>
      <c r="X25" s="40" t="str">
        <f>IF(AND(Project.18&gt;0,Contract.18=""),"You must enter a Contract number!","")</f>
        <v/>
      </c>
      <c r="Y25" s="40" t="str">
        <f t="shared" si="0"/>
        <v/>
      </c>
      <c r="Z25" s="40" t="str">
        <f>IF(AND(Type.18="FP7",Activity.18=""),"You must enter a FP7 activity!","")</f>
        <v/>
      </c>
      <c r="AA25" s="112">
        <f t="shared" si="1"/>
        <v>0</v>
      </c>
      <c r="AB25" s="112" t="str">
        <f>IF(OR(Type.18="H2020",Type.18="HEU"),"SANT","FALSKT")</f>
        <v>FALSKT</v>
      </c>
      <c r="AC25" s="112">
        <f t="shared" si="2"/>
        <v>0</v>
      </c>
      <c r="AD25" s="112">
        <f t="shared" si="3"/>
        <v>0</v>
      </c>
      <c r="AE25" s="112">
        <f t="shared" si="4"/>
        <v>0</v>
      </c>
      <c r="AF25" s="112">
        <f t="shared" si="5"/>
        <v>0</v>
      </c>
    </row>
    <row r="26" spans="2:33" ht="17.149999999999999" customHeight="1" x14ac:dyDescent="0.35">
      <c r="B26" s="131">
        <v>19</v>
      </c>
      <c r="D26" s="101"/>
      <c r="E26" s="212"/>
      <c r="F26" s="101"/>
      <c r="G26" s="76"/>
      <c r="H26" s="101"/>
      <c r="I26" s="76"/>
      <c r="J26" s="101"/>
      <c r="K26" s="96"/>
      <c r="L26" s="268"/>
      <c r="M26" s="270"/>
      <c r="N26" s="99"/>
      <c r="O26" s="268"/>
      <c r="P26" s="269"/>
      <c r="Q26" s="269"/>
      <c r="R26" s="269"/>
      <c r="S26" s="269"/>
      <c r="T26" s="269"/>
      <c r="U26" s="270"/>
      <c r="W26" s="40" t="str">
        <f>IF(AND(AB26="SANT",WP.19=""),"You must enter a WP number!","")</f>
        <v/>
      </c>
      <c r="X26" s="40" t="str">
        <f>IF(AND(Project.19&gt;0,Contract.19=""),"You must enter a Contract number!","")</f>
        <v/>
      </c>
      <c r="Y26" s="40" t="str">
        <f t="shared" si="0"/>
        <v/>
      </c>
      <c r="Z26" s="40" t="str">
        <f>IF(AND(Type.19="FP7",Activity.19=""),"You must enter a FP7 activity!","")</f>
        <v/>
      </c>
      <c r="AA26" s="112">
        <f t="shared" si="1"/>
        <v>0</v>
      </c>
      <c r="AB26" s="112" t="str">
        <f>IF(OR(Type.19="H2020",Type.19="HEU"),"SANT","FALSKT")</f>
        <v>FALSKT</v>
      </c>
      <c r="AC26" s="112">
        <f t="shared" si="2"/>
        <v>0</v>
      </c>
      <c r="AD26" s="112">
        <f t="shared" si="3"/>
        <v>0</v>
      </c>
      <c r="AE26" s="112">
        <f t="shared" si="4"/>
        <v>0</v>
      </c>
      <c r="AF26" s="112">
        <f t="shared" si="5"/>
        <v>0</v>
      </c>
    </row>
    <row r="27" spans="2:33" ht="15.5" x14ac:dyDescent="0.35">
      <c r="B27" s="96"/>
      <c r="C27" s="98"/>
      <c r="E27" s="76"/>
      <c r="F27" s="211"/>
      <c r="G27" s="76"/>
      <c r="H27" s="110"/>
      <c r="I27" s="76"/>
      <c r="J27" s="110"/>
      <c r="K27" s="96"/>
      <c r="L27" s="271"/>
      <c r="M27" s="271"/>
      <c r="N27" s="111"/>
      <c r="O27" s="271"/>
      <c r="P27" s="271"/>
      <c r="Q27" s="271"/>
      <c r="R27" s="271"/>
      <c r="S27" s="271"/>
      <c r="T27" s="271"/>
      <c r="U27" s="271"/>
      <c r="W27" s="6"/>
      <c r="X27" s="6"/>
      <c r="Y27" s="6"/>
      <c r="Z27" s="6"/>
      <c r="AA27" s="112"/>
      <c r="AB27" s="112"/>
      <c r="AC27" s="112"/>
      <c r="AD27" s="112"/>
      <c r="AE27" s="112"/>
      <c r="AF27" s="112"/>
    </row>
    <row r="28" spans="2:33" ht="14.5" x14ac:dyDescent="0.35">
      <c r="AA28" s="112">
        <f>SUM(AA8:AA27)</f>
        <v>0</v>
      </c>
      <c r="AB28" s="112"/>
      <c r="AC28" s="112">
        <f t="shared" ref="AC28:AF28" si="6">SUM(AC8:AC27)</f>
        <v>0</v>
      </c>
      <c r="AD28" s="112">
        <f t="shared" si="6"/>
        <v>0</v>
      </c>
      <c r="AE28" s="112">
        <f t="shared" si="6"/>
        <v>0</v>
      </c>
      <c r="AF28" s="112">
        <f t="shared" si="6"/>
        <v>0</v>
      </c>
    </row>
    <row r="29" spans="2:33" ht="17.25" customHeight="1" x14ac:dyDescent="0.35">
      <c r="D29" s="5" t="str">
        <f>IF(SUM(AA28:AE28)&gt;0,"MISSING INFORMATION! - Please double check so all project information is entered in the start page!","")</f>
        <v/>
      </c>
    </row>
    <row r="30" spans="2:33" ht="17.25" customHeight="1" x14ac:dyDescent="0.35">
      <c r="D30" s="5" t="str">
        <f>IF(AF28=0,"• Missing information – Enter Project Acronym/name","")</f>
        <v>• Missing information – Enter Project Acronym/name</v>
      </c>
    </row>
    <row r="31" spans="2:33" ht="17.25" customHeight="1" x14ac:dyDescent="0.35">
      <c r="D31" s="5"/>
    </row>
    <row r="32" spans="2:33" ht="24.75" customHeight="1" x14ac:dyDescent="0.35">
      <c r="D32" s="265" t="s">
        <v>25</v>
      </c>
      <c r="E32" s="266"/>
      <c r="F32" s="266"/>
      <c r="G32" s="266"/>
      <c r="H32" s="266"/>
      <c r="I32" s="266"/>
      <c r="J32" s="266"/>
      <c r="K32" s="266"/>
      <c r="L32" s="266"/>
      <c r="M32" s="266"/>
      <c r="N32" s="266"/>
      <c r="O32" s="266"/>
      <c r="P32" s="266"/>
      <c r="Q32" s="266"/>
      <c r="R32" s="266"/>
      <c r="S32" s="266"/>
      <c r="T32" s="266"/>
      <c r="U32" s="267"/>
    </row>
    <row r="34" spans="5:21" s="4" customFormat="1" ht="17.25" customHeight="1" x14ac:dyDescent="0.35">
      <c r="E34" s="11"/>
      <c r="F34" s="11"/>
      <c r="G34" s="11"/>
      <c r="H34" s="11"/>
      <c r="I34" s="11"/>
      <c r="J34" s="11"/>
      <c r="K34" s="11"/>
      <c r="L34" s="11"/>
      <c r="M34" s="95"/>
      <c r="N34" s="95"/>
      <c r="O34" s="11"/>
      <c r="P34" s="95"/>
      <c r="Q34" s="11"/>
      <c r="R34" s="95"/>
      <c r="S34" s="95"/>
      <c r="T34" s="95"/>
      <c r="U34" s="95"/>
    </row>
    <row r="35" spans="5:21" s="4" customFormat="1" ht="17.25" customHeight="1" x14ac:dyDescent="0.35">
      <c r="E35" s="11"/>
      <c r="F35" s="11"/>
      <c r="G35" s="11"/>
      <c r="H35" s="11"/>
      <c r="I35" s="11"/>
      <c r="J35" s="11"/>
      <c r="K35" s="11"/>
      <c r="L35" s="11"/>
      <c r="M35" s="95"/>
      <c r="N35" s="95"/>
      <c r="O35" s="11"/>
      <c r="P35" s="95"/>
      <c r="Q35" s="11"/>
      <c r="R35" s="95"/>
      <c r="S35" s="95"/>
      <c r="T35" s="95"/>
      <c r="U35" s="95"/>
    </row>
    <row r="36" spans="5:21" s="4" customFormat="1" ht="17.25" customHeight="1" x14ac:dyDescent="0.35">
      <c r="E36" s="11"/>
      <c r="F36" s="11"/>
      <c r="G36" s="11"/>
      <c r="H36" s="11"/>
      <c r="I36" s="11"/>
      <c r="J36" s="11"/>
      <c r="K36" s="11"/>
      <c r="L36" s="11"/>
      <c r="M36" s="95"/>
      <c r="N36" s="95"/>
      <c r="O36" s="11"/>
      <c r="P36" s="95"/>
      <c r="Q36" s="11"/>
      <c r="R36" s="95"/>
      <c r="S36" s="95"/>
      <c r="T36" s="95"/>
      <c r="U36" s="95"/>
    </row>
    <row r="37" spans="5:21" s="4" customFormat="1" ht="17.25" customHeight="1" x14ac:dyDescent="0.35">
      <c r="E37" s="11"/>
      <c r="F37" s="11"/>
      <c r="G37" s="11"/>
      <c r="H37" s="11"/>
      <c r="I37" s="11"/>
      <c r="J37" s="11"/>
      <c r="K37" s="11"/>
      <c r="L37" s="11"/>
      <c r="M37" s="95"/>
      <c r="N37" s="95"/>
      <c r="O37" s="11"/>
      <c r="P37" s="95"/>
      <c r="Q37" s="11"/>
      <c r="R37" s="95"/>
      <c r="S37" s="95"/>
      <c r="T37" s="95"/>
      <c r="U37" s="95"/>
    </row>
    <row r="38" spans="5:21" s="4" customFormat="1" ht="17.25" customHeight="1" x14ac:dyDescent="0.35">
      <c r="E38" s="11"/>
      <c r="F38" s="11"/>
      <c r="G38" s="11"/>
      <c r="H38" s="11"/>
      <c r="I38" s="11"/>
      <c r="J38" s="11"/>
      <c r="K38" s="11"/>
      <c r="L38" s="11"/>
      <c r="M38" s="95"/>
      <c r="N38" s="95"/>
      <c r="O38" s="11"/>
      <c r="P38" s="95"/>
      <c r="Q38" s="11"/>
      <c r="R38" s="95"/>
      <c r="S38" s="95"/>
      <c r="T38" s="95"/>
      <c r="U38" s="95"/>
    </row>
    <row r="39" spans="5:21" s="4" customFormat="1" ht="17.25" customHeight="1" x14ac:dyDescent="0.35">
      <c r="E39" s="11"/>
      <c r="F39" s="11"/>
      <c r="G39" s="11"/>
      <c r="H39" s="11"/>
      <c r="I39" s="11"/>
      <c r="J39" s="11"/>
      <c r="K39" s="11"/>
      <c r="L39" s="11"/>
      <c r="M39" s="95"/>
      <c r="N39" s="95"/>
      <c r="O39" s="11"/>
      <c r="P39" s="95"/>
      <c r="Q39" s="11"/>
      <c r="R39" s="95"/>
      <c r="S39" s="95"/>
      <c r="T39" s="95"/>
      <c r="U39" s="95"/>
    </row>
    <row r="40" spans="5:21" s="4" customFormat="1" ht="17.25" customHeight="1" x14ac:dyDescent="0.35">
      <c r="E40" s="11"/>
      <c r="F40" s="11"/>
      <c r="G40" s="11"/>
      <c r="H40" s="11"/>
      <c r="I40" s="11"/>
      <c r="J40" s="11"/>
      <c r="K40" s="11"/>
      <c r="L40" s="11"/>
      <c r="M40" s="95"/>
      <c r="N40" s="95"/>
      <c r="O40" s="11"/>
      <c r="P40" s="95"/>
      <c r="Q40" s="11"/>
      <c r="R40" s="95"/>
      <c r="S40" s="95"/>
      <c r="T40" s="95"/>
      <c r="U40" s="95"/>
    </row>
    <row r="41" spans="5:21" s="4" customFormat="1" ht="17.25" customHeight="1" x14ac:dyDescent="0.35">
      <c r="E41" s="11"/>
      <c r="F41" s="11"/>
      <c r="G41" s="11"/>
      <c r="H41" s="11"/>
      <c r="I41" s="11"/>
      <c r="J41" s="11"/>
      <c r="K41" s="11"/>
      <c r="L41" s="11"/>
      <c r="M41" s="95"/>
      <c r="N41" s="95"/>
      <c r="O41" s="11"/>
      <c r="P41" s="95"/>
      <c r="Q41" s="11"/>
      <c r="R41" s="95"/>
      <c r="S41" s="95"/>
      <c r="T41" s="95"/>
      <c r="U41" s="95"/>
    </row>
    <row r="42" spans="5:21" s="4" customFormat="1" ht="17.25" customHeight="1" x14ac:dyDescent="0.35">
      <c r="E42" s="11"/>
      <c r="F42" s="11"/>
      <c r="G42" s="11"/>
      <c r="H42" s="11"/>
      <c r="I42" s="11"/>
      <c r="J42" s="11"/>
      <c r="K42" s="11"/>
      <c r="L42" s="11"/>
      <c r="M42" s="95"/>
      <c r="N42" s="95"/>
      <c r="O42" s="11"/>
      <c r="P42" s="95"/>
      <c r="Q42" s="11"/>
      <c r="R42" s="95"/>
      <c r="S42" s="95"/>
      <c r="T42" s="95"/>
      <c r="U42" s="95"/>
    </row>
    <row r="43" spans="5:21" s="4" customFormat="1" ht="17.25" customHeight="1" x14ac:dyDescent="0.35">
      <c r="E43" s="11"/>
      <c r="F43" s="11"/>
      <c r="G43" s="11"/>
      <c r="H43" s="11"/>
      <c r="I43" s="11"/>
      <c r="J43" s="11"/>
      <c r="K43" s="11"/>
      <c r="L43" s="11"/>
      <c r="M43" s="95"/>
      <c r="N43" s="95"/>
      <c r="O43" s="11"/>
      <c r="P43" s="95"/>
      <c r="Q43" s="11"/>
      <c r="R43" s="95"/>
      <c r="S43" s="95"/>
      <c r="T43" s="95"/>
      <c r="U43" s="95"/>
    </row>
    <row r="44" spans="5:21" s="4" customFormat="1" ht="17.25" customHeight="1" x14ac:dyDescent="0.35">
      <c r="E44" s="11"/>
      <c r="F44" s="11"/>
      <c r="G44" s="11"/>
      <c r="H44" s="11"/>
      <c r="I44" s="11"/>
      <c r="J44" s="11"/>
      <c r="K44" s="11"/>
      <c r="L44" s="11"/>
      <c r="M44" s="95"/>
      <c r="N44" s="95"/>
      <c r="O44" s="11"/>
      <c r="P44" s="95"/>
      <c r="Q44" s="11"/>
      <c r="R44" s="95"/>
      <c r="S44" s="95"/>
      <c r="T44" s="95"/>
      <c r="U44" s="95"/>
    </row>
    <row r="45" spans="5:21" s="4" customFormat="1" ht="17.25" customHeight="1" x14ac:dyDescent="0.35">
      <c r="E45" s="11"/>
      <c r="F45" s="11"/>
      <c r="G45" s="11"/>
      <c r="H45" s="11"/>
      <c r="I45" s="11"/>
      <c r="J45" s="11"/>
      <c r="K45" s="11"/>
      <c r="L45" s="11"/>
      <c r="M45" s="95"/>
      <c r="N45" s="95"/>
      <c r="O45" s="11"/>
      <c r="P45" s="95"/>
      <c r="Q45" s="11"/>
      <c r="R45" s="95"/>
      <c r="S45" s="95"/>
      <c r="T45" s="95"/>
      <c r="U45" s="95"/>
    </row>
    <row r="46" spans="5:21" s="4" customFormat="1" ht="17.25" customHeight="1" x14ac:dyDescent="0.35">
      <c r="E46" s="11"/>
      <c r="F46" s="11"/>
      <c r="G46" s="11"/>
      <c r="H46" s="11"/>
      <c r="I46" s="11"/>
      <c r="J46" s="11"/>
      <c r="K46" s="11"/>
      <c r="L46" s="11"/>
      <c r="M46" s="95"/>
      <c r="N46" s="95"/>
      <c r="O46" s="11"/>
      <c r="P46" s="95"/>
      <c r="Q46" s="11"/>
      <c r="R46" s="95"/>
      <c r="S46" s="95"/>
      <c r="T46" s="95"/>
      <c r="U46" s="95"/>
    </row>
    <row r="47" spans="5:21" s="4" customFormat="1" ht="17.25" customHeight="1" x14ac:dyDescent="0.35">
      <c r="E47" s="11"/>
      <c r="F47" s="11"/>
      <c r="G47" s="11"/>
      <c r="H47" s="11"/>
      <c r="I47" s="11"/>
      <c r="J47" s="11"/>
      <c r="K47" s="11"/>
      <c r="L47" s="11"/>
      <c r="M47" s="95"/>
      <c r="N47" s="95"/>
      <c r="O47" s="11"/>
      <c r="P47" s="95"/>
      <c r="Q47" s="11"/>
      <c r="R47" s="95"/>
      <c r="S47" s="95"/>
      <c r="T47" s="95"/>
      <c r="U47" s="95"/>
    </row>
    <row r="48" spans="5:21" s="4" customFormat="1" ht="17.25" customHeight="1" x14ac:dyDescent="0.35">
      <c r="E48" s="11"/>
      <c r="F48" s="11"/>
      <c r="G48" s="11"/>
      <c r="H48" s="11"/>
      <c r="I48" s="11"/>
      <c r="J48" s="11"/>
      <c r="K48" s="11"/>
      <c r="L48" s="11"/>
      <c r="M48" s="95"/>
      <c r="N48" s="95"/>
      <c r="O48" s="11"/>
      <c r="P48" s="95"/>
      <c r="Q48" s="11"/>
      <c r="R48" s="95"/>
      <c r="S48" s="95"/>
      <c r="T48" s="95"/>
      <c r="U48" s="95"/>
    </row>
    <row r="49" spans="5:21" s="4" customFormat="1" ht="17.25" customHeight="1" x14ac:dyDescent="0.35">
      <c r="E49" s="11"/>
      <c r="F49" s="11"/>
      <c r="G49" s="11"/>
      <c r="H49" s="11"/>
      <c r="I49" s="11"/>
      <c r="J49" s="11"/>
      <c r="K49" s="11"/>
      <c r="L49" s="11"/>
      <c r="M49" s="95"/>
      <c r="N49" s="95"/>
      <c r="O49" s="11"/>
      <c r="P49" s="95"/>
      <c r="Q49" s="11"/>
      <c r="R49" s="95"/>
      <c r="S49" s="95"/>
      <c r="T49" s="95"/>
      <c r="U49" s="95"/>
    </row>
    <row r="50" spans="5:21" s="4" customFormat="1" ht="17.25" customHeight="1" x14ac:dyDescent="0.35">
      <c r="E50" s="11"/>
      <c r="F50" s="11"/>
      <c r="G50" s="11"/>
      <c r="H50" s="11"/>
      <c r="I50" s="11"/>
      <c r="J50" s="11"/>
      <c r="K50" s="11"/>
      <c r="L50" s="11"/>
      <c r="M50" s="95"/>
      <c r="N50" s="95"/>
      <c r="O50" s="11"/>
      <c r="P50" s="95"/>
      <c r="Q50" s="11"/>
      <c r="R50" s="95"/>
      <c r="S50" s="95"/>
      <c r="T50" s="95"/>
      <c r="U50" s="95"/>
    </row>
    <row r="51" spans="5:21" s="4" customFormat="1" ht="17.25" customHeight="1" x14ac:dyDescent="0.35">
      <c r="E51" s="11"/>
      <c r="F51" s="11"/>
      <c r="G51" s="11"/>
      <c r="H51" s="11"/>
      <c r="I51" s="11"/>
      <c r="J51" s="11"/>
      <c r="K51" s="11"/>
      <c r="L51" s="11"/>
      <c r="M51" s="95"/>
      <c r="N51" s="95"/>
      <c r="O51" s="11"/>
      <c r="P51" s="95"/>
      <c r="Q51" s="11"/>
      <c r="R51" s="95"/>
      <c r="S51" s="95"/>
      <c r="T51" s="95"/>
      <c r="U51" s="95"/>
    </row>
    <row r="52" spans="5:21" s="4" customFormat="1" ht="17.25" customHeight="1" x14ac:dyDescent="0.35">
      <c r="E52" s="11"/>
      <c r="F52" s="11"/>
      <c r="G52" s="11"/>
      <c r="H52" s="11"/>
      <c r="I52" s="11"/>
      <c r="J52" s="11"/>
      <c r="K52" s="11"/>
      <c r="L52" s="11"/>
      <c r="M52" s="95"/>
      <c r="N52" s="95"/>
      <c r="O52" s="11"/>
      <c r="P52" s="95"/>
      <c r="Q52" s="11"/>
      <c r="R52" s="95"/>
      <c r="S52" s="95"/>
      <c r="T52" s="95"/>
      <c r="U52" s="95"/>
    </row>
    <row r="53" spans="5:21" s="4" customFormat="1" ht="17.25" customHeight="1" x14ac:dyDescent="0.35">
      <c r="E53" s="11"/>
      <c r="F53" s="11"/>
      <c r="G53" s="11"/>
      <c r="H53" s="11"/>
      <c r="I53" s="11"/>
      <c r="J53" s="11"/>
      <c r="K53" s="11"/>
      <c r="L53" s="11"/>
      <c r="M53" s="95"/>
      <c r="N53" s="95"/>
      <c r="O53" s="11"/>
      <c r="P53" s="95"/>
      <c r="Q53" s="11"/>
      <c r="R53" s="95"/>
      <c r="S53" s="95"/>
      <c r="T53" s="95"/>
      <c r="U53" s="95"/>
    </row>
    <row r="54" spans="5:21" s="4" customFormat="1" ht="17.25" customHeight="1" x14ac:dyDescent="0.35">
      <c r="E54" s="11"/>
      <c r="F54" s="11"/>
      <c r="G54" s="11"/>
      <c r="H54" s="11"/>
      <c r="I54" s="11"/>
      <c r="J54" s="11"/>
      <c r="K54" s="11"/>
      <c r="L54" s="11"/>
      <c r="M54" s="95"/>
      <c r="N54" s="95"/>
      <c r="O54" s="11"/>
      <c r="P54" s="95"/>
      <c r="Q54" s="11"/>
      <c r="R54" s="95"/>
      <c r="S54" s="95"/>
      <c r="T54" s="95"/>
      <c r="U54" s="95"/>
    </row>
    <row r="55" spans="5:21" s="4" customFormat="1" ht="17.25" customHeight="1" x14ac:dyDescent="0.35">
      <c r="E55" s="11"/>
      <c r="F55" s="11"/>
      <c r="G55" s="11"/>
      <c r="H55" s="11"/>
      <c r="I55" s="11"/>
      <c r="J55" s="11"/>
      <c r="K55" s="11"/>
      <c r="L55" s="11"/>
      <c r="M55" s="95"/>
      <c r="N55" s="95"/>
      <c r="O55" s="11"/>
      <c r="P55" s="95"/>
      <c r="Q55" s="11"/>
      <c r="R55" s="95"/>
      <c r="S55" s="95"/>
      <c r="T55" s="95"/>
      <c r="U55" s="95"/>
    </row>
    <row r="56" spans="5:21" s="4" customFormat="1" ht="17.25" customHeight="1" x14ac:dyDescent="0.35">
      <c r="E56" s="11"/>
      <c r="F56" s="11"/>
      <c r="G56" s="11"/>
      <c r="H56" s="11"/>
      <c r="I56" s="11"/>
      <c r="J56" s="11"/>
      <c r="K56" s="11"/>
      <c r="L56" s="11"/>
      <c r="M56" s="95"/>
      <c r="N56" s="95"/>
      <c r="O56" s="11"/>
      <c r="P56" s="95"/>
      <c r="Q56" s="11"/>
      <c r="R56" s="95"/>
      <c r="S56" s="95"/>
      <c r="T56" s="95"/>
      <c r="U56" s="95"/>
    </row>
    <row r="57" spans="5:21" s="4" customFormat="1" ht="17.25" customHeight="1" x14ac:dyDescent="0.35">
      <c r="E57" s="11"/>
      <c r="F57" s="11"/>
      <c r="G57" s="11"/>
      <c r="H57" s="11"/>
      <c r="I57" s="11"/>
      <c r="J57" s="11"/>
      <c r="K57" s="11"/>
      <c r="L57" s="11"/>
      <c r="M57" s="95"/>
      <c r="N57" s="95"/>
      <c r="O57" s="11"/>
      <c r="P57" s="95"/>
      <c r="Q57" s="11"/>
      <c r="R57" s="95"/>
      <c r="S57" s="95"/>
      <c r="T57" s="95"/>
      <c r="U57" s="95"/>
    </row>
    <row r="58" spans="5:21" s="4" customFormat="1" ht="17.25" customHeight="1" x14ac:dyDescent="0.35">
      <c r="E58" s="11"/>
      <c r="F58" s="11"/>
      <c r="G58" s="11"/>
      <c r="H58" s="11"/>
      <c r="I58" s="11"/>
      <c r="J58" s="11"/>
      <c r="K58" s="11"/>
      <c r="L58" s="11"/>
      <c r="M58" s="95"/>
      <c r="N58" s="95"/>
      <c r="O58" s="11"/>
      <c r="P58" s="95"/>
      <c r="Q58" s="11"/>
      <c r="R58" s="95"/>
      <c r="S58" s="95"/>
      <c r="T58" s="95"/>
      <c r="U58" s="95"/>
    </row>
    <row r="59" spans="5:21" s="4" customFormat="1" ht="17.25" customHeight="1" x14ac:dyDescent="0.35">
      <c r="E59" s="11"/>
      <c r="F59" s="11"/>
      <c r="G59" s="11"/>
      <c r="H59" s="11"/>
      <c r="I59" s="11"/>
      <c r="J59" s="11"/>
      <c r="K59" s="11"/>
      <c r="L59" s="11"/>
      <c r="M59" s="95"/>
      <c r="N59" s="95"/>
      <c r="O59" s="11"/>
      <c r="P59" s="95"/>
      <c r="Q59" s="11"/>
      <c r="R59" s="95"/>
      <c r="S59" s="95"/>
      <c r="T59" s="95"/>
      <c r="U59" s="95"/>
    </row>
    <row r="60" spans="5:21" s="4" customFormat="1" ht="17.25" customHeight="1" x14ac:dyDescent="0.35">
      <c r="E60" s="11"/>
      <c r="F60" s="11"/>
      <c r="G60" s="11"/>
      <c r="H60" s="11"/>
      <c r="I60" s="11"/>
      <c r="J60" s="11"/>
      <c r="K60" s="11"/>
      <c r="L60" s="11"/>
      <c r="M60" s="95"/>
      <c r="N60" s="95"/>
      <c r="O60" s="11"/>
      <c r="P60" s="95"/>
      <c r="Q60" s="11"/>
      <c r="R60" s="95"/>
      <c r="S60" s="95"/>
      <c r="T60" s="95"/>
      <c r="U60" s="95"/>
    </row>
    <row r="61" spans="5:21" s="4" customFormat="1" ht="17.25" customHeight="1" x14ac:dyDescent="0.35">
      <c r="E61" s="11"/>
      <c r="F61" s="11"/>
      <c r="G61" s="11"/>
      <c r="H61" s="11"/>
      <c r="I61" s="11"/>
      <c r="J61" s="11"/>
      <c r="K61" s="11"/>
      <c r="L61" s="11"/>
      <c r="M61" s="95"/>
      <c r="N61" s="95"/>
      <c r="O61" s="11"/>
      <c r="P61" s="95"/>
      <c r="Q61" s="11"/>
      <c r="R61" s="95"/>
      <c r="S61" s="95"/>
      <c r="T61" s="95"/>
      <c r="U61" s="95"/>
    </row>
    <row r="62" spans="5:21" s="4" customFormat="1" ht="17.25" customHeight="1" x14ac:dyDescent="0.35">
      <c r="E62" s="11"/>
      <c r="F62" s="11"/>
      <c r="G62" s="11"/>
      <c r="H62" s="11"/>
      <c r="I62" s="11"/>
      <c r="J62" s="11"/>
      <c r="K62" s="11"/>
      <c r="L62" s="11"/>
      <c r="M62" s="95"/>
      <c r="N62" s="95"/>
      <c r="O62" s="11"/>
      <c r="P62" s="95"/>
      <c r="Q62" s="11"/>
      <c r="R62" s="95"/>
      <c r="S62" s="95"/>
      <c r="T62" s="95"/>
      <c r="U62" s="95"/>
    </row>
    <row r="63" spans="5:21" s="4" customFormat="1" ht="17.25" customHeight="1" x14ac:dyDescent="0.35">
      <c r="E63" s="11"/>
      <c r="F63" s="11"/>
      <c r="G63" s="11"/>
      <c r="H63" s="11"/>
      <c r="I63" s="11"/>
      <c r="J63" s="11"/>
      <c r="K63" s="11"/>
      <c r="L63" s="11"/>
      <c r="M63" s="95"/>
      <c r="N63" s="95"/>
      <c r="O63" s="11"/>
      <c r="P63" s="95"/>
      <c r="Q63" s="11"/>
      <c r="R63" s="95"/>
      <c r="S63" s="95"/>
      <c r="T63" s="95"/>
      <c r="U63" s="95"/>
    </row>
    <row r="64" spans="5:21" s="4" customFormat="1" ht="17.25" customHeight="1" x14ac:dyDescent="0.35">
      <c r="E64" s="11"/>
      <c r="F64" s="11"/>
      <c r="G64" s="11"/>
      <c r="H64" s="11"/>
      <c r="I64" s="11"/>
      <c r="J64" s="11"/>
      <c r="K64" s="11"/>
      <c r="L64" s="11"/>
      <c r="M64" s="95"/>
      <c r="N64" s="95"/>
      <c r="O64" s="11"/>
      <c r="P64" s="95"/>
      <c r="Q64" s="11"/>
      <c r="R64" s="95"/>
      <c r="S64" s="95"/>
      <c r="T64" s="95"/>
      <c r="U64" s="95"/>
    </row>
    <row r="65" spans="5:21" s="4" customFormat="1" ht="17.25" customHeight="1" x14ac:dyDescent="0.35">
      <c r="E65" s="11"/>
      <c r="F65" s="11"/>
      <c r="G65" s="11"/>
      <c r="H65" s="11"/>
      <c r="I65" s="11"/>
      <c r="J65" s="11"/>
      <c r="K65" s="11"/>
      <c r="L65" s="11"/>
      <c r="M65" s="95"/>
      <c r="N65" s="95"/>
      <c r="O65" s="11"/>
      <c r="P65" s="95"/>
      <c r="Q65" s="11"/>
      <c r="R65" s="95"/>
      <c r="S65" s="95"/>
      <c r="T65" s="95"/>
      <c r="U65" s="95"/>
    </row>
    <row r="66" spans="5:21" s="4" customFormat="1" ht="17.25" customHeight="1" x14ac:dyDescent="0.35">
      <c r="E66" s="11"/>
      <c r="F66" s="11"/>
      <c r="G66" s="11"/>
      <c r="H66" s="11"/>
      <c r="I66" s="11"/>
      <c r="J66" s="11"/>
      <c r="K66" s="11"/>
      <c r="L66" s="11"/>
      <c r="M66" s="95"/>
      <c r="N66" s="95"/>
      <c r="O66" s="11"/>
      <c r="P66" s="95"/>
      <c r="Q66" s="11"/>
      <c r="R66" s="95"/>
      <c r="S66" s="95"/>
      <c r="T66" s="95"/>
      <c r="U66" s="95"/>
    </row>
    <row r="67" spans="5:21" s="4" customFormat="1" ht="17.25" customHeight="1" x14ac:dyDescent="0.35">
      <c r="E67" s="11"/>
      <c r="F67" s="11"/>
      <c r="G67" s="11"/>
      <c r="H67" s="11"/>
      <c r="I67" s="11"/>
      <c r="J67" s="11"/>
      <c r="K67" s="11"/>
      <c r="L67" s="11"/>
      <c r="M67" s="95"/>
      <c r="N67" s="95"/>
      <c r="O67" s="11"/>
      <c r="P67" s="95"/>
      <c r="Q67" s="11"/>
      <c r="R67" s="95"/>
      <c r="S67" s="95"/>
      <c r="T67" s="95"/>
      <c r="U67" s="95"/>
    </row>
    <row r="68" spans="5:21" s="4" customFormat="1" ht="17.25" customHeight="1" x14ac:dyDescent="0.35">
      <c r="E68" s="11"/>
      <c r="F68" s="11"/>
      <c r="G68" s="11"/>
      <c r="H68" s="11"/>
      <c r="I68" s="11"/>
      <c r="J68" s="11"/>
      <c r="K68" s="11"/>
      <c r="L68" s="11"/>
      <c r="M68" s="95"/>
      <c r="N68" s="95"/>
      <c r="O68" s="11"/>
      <c r="P68" s="95"/>
      <c r="Q68" s="11"/>
      <c r="R68" s="95"/>
      <c r="S68" s="95"/>
      <c r="T68" s="95"/>
      <c r="U68" s="95"/>
    </row>
    <row r="69" spans="5:21" s="4" customFormat="1" ht="17.25" customHeight="1" x14ac:dyDescent="0.35">
      <c r="E69" s="11"/>
      <c r="F69" s="11"/>
      <c r="G69" s="11"/>
      <c r="H69" s="11"/>
      <c r="I69" s="11"/>
      <c r="J69" s="11"/>
      <c r="K69" s="11"/>
      <c r="L69" s="11"/>
      <c r="M69" s="95"/>
      <c r="N69" s="95"/>
      <c r="O69" s="11"/>
      <c r="P69" s="95"/>
      <c r="Q69" s="11"/>
      <c r="R69" s="95"/>
      <c r="S69" s="95"/>
      <c r="T69" s="95"/>
      <c r="U69" s="95"/>
    </row>
    <row r="70" spans="5:21" s="4" customFormat="1" ht="17.25" customHeight="1" x14ac:dyDescent="0.35">
      <c r="E70" s="11"/>
      <c r="F70" s="11"/>
      <c r="G70" s="11"/>
      <c r="H70" s="11"/>
      <c r="I70" s="11"/>
      <c r="J70" s="11"/>
      <c r="K70" s="11"/>
      <c r="L70" s="11"/>
      <c r="M70" s="95"/>
      <c r="N70" s="95"/>
      <c r="O70" s="11"/>
      <c r="P70" s="95"/>
      <c r="Q70" s="11"/>
      <c r="R70" s="95"/>
      <c r="S70" s="95"/>
      <c r="T70" s="95"/>
      <c r="U70" s="95"/>
    </row>
    <row r="71" spans="5:21" s="4" customFormat="1" ht="17.25" customHeight="1" x14ac:dyDescent="0.35">
      <c r="E71" s="11"/>
      <c r="F71" s="11"/>
      <c r="G71" s="11"/>
      <c r="H71" s="11"/>
      <c r="I71" s="11"/>
      <c r="J71" s="11"/>
      <c r="K71" s="11"/>
      <c r="L71" s="11"/>
      <c r="M71" s="95"/>
      <c r="N71" s="95"/>
      <c r="O71" s="11"/>
      <c r="P71" s="95"/>
      <c r="Q71" s="11"/>
      <c r="R71" s="95"/>
      <c r="S71" s="95"/>
      <c r="T71" s="95"/>
      <c r="U71" s="95"/>
    </row>
    <row r="72" spans="5:21" s="4" customFormat="1" ht="17.25" customHeight="1" x14ac:dyDescent="0.35">
      <c r="E72" s="11"/>
      <c r="F72" s="11"/>
      <c r="G72" s="11"/>
      <c r="H72" s="11"/>
      <c r="I72" s="11"/>
      <c r="J72" s="11"/>
      <c r="K72" s="11"/>
      <c r="L72" s="11"/>
      <c r="M72" s="95"/>
      <c r="N72" s="95"/>
      <c r="O72" s="11"/>
      <c r="P72" s="95"/>
      <c r="Q72" s="11"/>
      <c r="R72" s="95"/>
      <c r="S72" s="95"/>
      <c r="T72" s="95"/>
      <c r="U72" s="95"/>
    </row>
    <row r="73" spans="5:21" s="4" customFormat="1" ht="17.25" customHeight="1" x14ac:dyDescent="0.35">
      <c r="E73" s="11"/>
      <c r="F73" s="11"/>
      <c r="G73" s="11"/>
      <c r="H73" s="11"/>
      <c r="I73" s="11"/>
      <c r="J73" s="11"/>
      <c r="K73" s="11"/>
      <c r="L73" s="11"/>
      <c r="M73" s="95"/>
      <c r="N73" s="95"/>
      <c r="O73" s="11"/>
      <c r="P73" s="95"/>
      <c r="Q73" s="11"/>
      <c r="R73" s="95"/>
      <c r="S73" s="95"/>
      <c r="T73" s="95"/>
      <c r="U73" s="95"/>
    </row>
    <row r="74" spans="5:21" s="4" customFormat="1" ht="17.25" customHeight="1" x14ac:dyDescent="0.35">
      <c r="E74" s="11"/>
      <c r="F74" s="11"/>
      <c r="G74" s="11"/>
      <c r="H74" s="11"/>
      <c r="I74" s="11"/>
      <c r="J74" s="11"/>
      <c r="K74" s="11"/>
      <c r="L74" s="11"/>
      <c r="M74" s="95"/>
      <c r="N74" s="95"/>
      <c r="O74" s="11"/>
      <c r="P74" s="95"/>
      <c r="Q74" s="11"/>
      <c r="R74" s="95"/>
      <c r="S74" s="95"/>
      <c r="T74" s="95"/>
      <c r="U74" s="95"/>
    </row>
    <row r="75" spans="5:21" s="4" customFormat="1" ht="17.25" customHeight="1" x14ac:dyDescent="0.35">
      <c r="E75" s="11"/>
      <c r="F75" s="11"/>
      <c r="G75" s="11"/>
      <c r="H75" s="11"/>
      <c r="I75" s="11"/>
      <c r="J75" s="11"/>
      <c r="K75" s="11"/>
      <c r="L75" s="11"/>
      <c r="M75" s="95"/>
      <c r="N75" s="95"/>
      <c r="O75" s="11"/>
      <c r="P75" s="95"/>
      <c r="Q75" s="11"/>
      <c r="R75" s="95"/>
      <c r="S75" s="95"/>
      <c r="T75" s="95"/>
      <c r="U75" s="95"/>
    </row>
    <row r="76" spans="5:21" s="4" customFormat="1" ht="17.25" customHeight="1" x14ac:dyDescent="0.35">
      <c r="E76" s="11"/>
      <c r="F76" s="11"/>
      <c r="G76" s="11"/>
      <c r="H76" s="11"/>
      <c r="I76" s="11"/>
      <c r="J76" s="11"/>
      <c r="K76" s="11"/>
      <c r="L76" s="11"/>
      <c r="M76" s="95"/>
      <c r="N76" s="95"/>
      <c r="O76" s="11"/>
      <c r="P76" s="95"/>
      <c r="Q76" s="11"/>
      <c r="R76" s="95"/>
      <c r="S76" s="95"/>
      <c r="T76" s="95"/>
      <c r="U76" s="95"/>
    </row>
    <row r="77" spans="5:21" s="4" customFormat="1" ht="17.25" customHeight="1" x14ac:dyDescent="0.35">
      <c r="E77" s="11"/>
      <c r="F77" s="11"/>
      <c r="G77" s="11"/>
      <c r="H77" s="11"/>
      <c r="I77" s="11"/>
      <c r="J77" s="11"/>
      <c r="K77" s="11"/>
      <c r="L77" s="11"/>
      <c r="M77" s="95"/>
      <c r="N77" s="95"/>
      <c r="O77" s="11"/>
      <c r="P77" s="95"/>
      <c r="Q77" s="11"/>
      <c r="R77" s="95"/>
      <c r="S77" s="95"/>
      <c r="T77" s="95"/>
      <c r="U77" s="95"/>
    </row>
    <row r="78" spans="5:21" s="4" customFormat="1" ht="17.25" customHeight="1" x14ac:dyDescent="0.35">
      <c r="E78" s="11"/>
      <c r="F78" s="11"/>
      <c r="G78" s="11"/>
      <c r="H78" s="11"/>
      <c r="I78" s="11"/>
      <c r="J78" s="11"/>
      <c r="K78" s="11"/>
      <c r="L78" s="11"/>
      <c r="M78" s="95"/>
      <c r="N78" s="95"/>
      <c r="O78" s="11"/>
      <c r="P78" s="95"/>
      <c r="Q78" s="11"/>
      <c r="R78" s="95"/>
      <c r="S78" s="95"/>
      <c r="T78" s="95"/>
      <c r="U78" s="95"/>
    </row>
    <row r="79" spans="5:21" s="4" customFormat="1" ht="17.25" customHeight="1" x14ac:dyDescent="0.35">
      <c r="E79" s="11"/>
      <c r="F79" s="11"/>
      <c r="G79" s="11"/>
      <c r="H79" s="11"/>
      <c r="I79" s="11"/>
      <c r="J79" s="11"/>
      <c r="K79" s="11"/>
      <c r="L79" s="11"/>
      <c r="M79" s="95"/>
      <c r="N79" s="95"/>
      <c r="O79" s="11"/>
      <c r="P79" s="95"/>
      <c r="Q79" s="11"/>
      <c r="R79" s="95"/>
      <c r="S79" s="95"/>
      <c r="T79" s="95"/>
      <c r="U79" s="95"/>
    </row>
    <row r="80" spans="5:21" s="4" customFormat="1" ht="17.25" customHeight="1" x14ac:dyDescent="0.35">
      <c r="E80" s="11"/>
      <c r="F80" s="11"/>
      <c r="G80" s="11"/>
      <c r="H80" s="11"/>
      <c r="I80" s="11"/>
      <c r="J80" s="11"/>
      <c r="K80" s="11"/>
      <c r="L80" s="11"/>
      <c r="M80" s="95"/>
      <c r="N80" s="95"/>
      <c r="O80" s="11"/>
      <c r="P80" s="95"/>
      <c r="Q80" s="11"/>
      <c r="R80" s="95"/>
      <c r="S80" s="95"/>
      <c r="T80" s="95"/>
      <c r="U80" s="95"/>
    </row>
    <row r="81" spans="5:21" s="4" customFormat="1" ht="17.25" customHeight="1" x14ac:dyDescent="0.35">
      <c r="E81" s="11"/>
      <c r="F81" s="11"/>
      <c r="G81" s="11"/>
      <c r="H81" s="11"/>
      <c r="I81" s="11"/>
      <c r="J81" s="11"/>
      <c r="K81" s="11"/>
      <c r="L81" s="11"/>
      <c r="M81" s="95"/>
      <c r="N81" s="95"/>
      <c r="O81" s="11"/>
      <c r="P81" s="95"/>
      <c r="Q81" s="11"/>
      <c r="R81" s="95"/>
      <c r="S81" s="95"/>
      <c r="T81" s="95"/>
      <c r="U81" s="95"/>
    </row>
    <row r="82" spans="5:21" s="4" customFormat="1" ht="17.25" customHeight="1" x14ac:dyDescent="0.35">
      <c r="E82" s="11"/>
      <c r="F82" s="11"/>
      <c r="G82" s="11"/>
      <c r="H82" s="11"/>
      <c r="I82" s="11"/>
      <c r="J82" s="11"/>
      <c r="K82" s="11"/>
      <c r="L82" s="11"/>
      <c r="M82" s="95"/>
      <c r="N82" s="95"/>
      <c r="O82" s="11"/>
      <c r="P82" s="95"/>
      <c r="Q82" s="11"/>
      <c r="R82" s="95"/>
      <c r="S82" s="95"/>
      <c r="T82" s="95"/>
      <c r="U82" s="95"/>
    </row>
    <row r="83" spans="5:21" s="4" customFormat="1" ht="17.25" customHeight="1" x14ac:dyDescent="0.35">
      <c r="E83" s="11"/>
      <c r="F83" s="11"/>
      <c r="G83" s="11"/>
      <c r="H83" s="11"/>
      <c r="I83" s="11"/>
      <c r="J83" s="11"/>
      <c r="K83" s="11"/>
      <c r="L83" s="11"/>
      <c r="M83" s="95"/>
      <c r="N83" s="95"/>
      <c r="O83" s="11"/>
      <c r="P83" s="95"/>
      <c r="Q83" s="11"/>
      <c r="R83" s="95"/>
      <c r="S83" s="95"/>
      <c r="T83" s="95"/>
      <c r="U83" s="95"/>
    </row>
    <row r="84" spans="5:21" s="4" customFormat="1" ht="17.25" customHeight="1" x14ac:dyDescent="0.35">
      <c r="E84" s="11"/>
      <c r="F84" s="11"/>
      <c r="G84" s="11"/>
      <c r="H84" s="11"/>
      <c r="I84" s="11"/>
      <c r="J84" s="11"/>
      <c r="K84" s="11"/>
      <c r="L84" s="11"/>
      <c r="M84" s="95"/>
      <c r="N84" s="95"/>
      <c r="O84" s="11"/>
      <c r="P84" s="95"/>
      <c r="Q84" s="11"/>
      <c r="R84" s="95"/>
      <c r="S84" s="95"/>
      <c r="T84" s="95"/>
      <c r="U84" s="95"/>
    </row>
    <row r="85" spans="5:21" s="4" customFormat="1" ht="17.25" customHeight="1" x14ac:dyDescent="0.35">
      <c r="E85" s="11"/>
      <c r="F85" s="11"/>
      <c r="G85" s="11"/>
      <c r="H85" s="11"/>
      <c r="I85" s="11"/>
      <c r="J85" s="11"/>
      <c r="K85" s="11"/>
      <c r="L85" s="11"/>
      <c r="M85" s="95"/>
      <c r="N85" s="95"/>
      <c r="O85" s="11"/>
      <c r="P85" s="95"/>
      <c r="Q85" s="11"/>
      <c r="R85" s="95"/>
      <c r="S85" s="95"/>
      <c r="T85" s="95"/>
      <c r="U85" s="95"/>
    </row>
    <row r="86" spans="5:21" s="4" customFormat="1" ht="17.25" customHeight="1" x14ac:dyDescent="0.35">
      <c r="E86" s="11"/>
      <c r="F86" s="11"/>
      <c r="G86" s="11"/>
      <c r="H86" s="11"/>
      <c r="I86" s="11"/>
      <c r="J86" s="11"/>
      <c r="K86" s="11"/>
      <c r="L86" s="11"/>
      <c r="M86" s="95"/>
      <c r="N86" s="95"/>
      <c r="O86" s="11"/>
      <c r="P86" s="95"/>
      <c r="Q86" s="11"/>
      <c r="R86" s="95"/>
      <c r="S86" s="95"/>
      <c r="T86" s="95"/>
      <c r="U86" s="95"/>
    </row>
    <row r="87" spans="5:21" s="4" customFormat="1" ht="17.25" customHeight="1" x14ac:dyDescent="0.35">
      <c r="E87" s="11"/>
      <c r="F87" s="11"/>
      <c r="G87" s="11"/>
      <c r="H87" s="11"/>
      <c r="I87" s="11"/>
      <c r="J87" s="11"/>
      <c r="K87" s="11"/>
      <c r="L87" s="11"/>
      <c r="M87" s="95"/>
      <c r="N87" s="95"/>
      <c r="O87" s="11"/>
      <c r="P87" s="95"/>
      <c r="Q87" s="11"/>
      <c r="R87" s="95"/>
      <c r="S87" s="95"/>
      <c r="T87" s="95"/>
      <c r="U87" s="95"/>
    </row>
    <row r="88" spans="5:21" s="4" customFormat="1" ht="17.25" customHeight="1" x14ac:dyDescent="0.35">
      <c r="E88" s="11"/>
      <c r="F88" s="11"/>
      <c r="G88" s="11"/>
      <c r="H88" s="11"/>
      <c r="I88" s="11"/>
      <c r="J88" s="11"/>
      <c r="K88" s="11"/>
      <c r="L88" s="11"/>
      <c r="M88" s="95"/>
      <c r="N88" s="95"/>
      <c r="O88" s="11"/>
      <c r="P88" s="95"/>
      <c r="Q88" s="11"/>
      <c r="R88" s="95"/>
      <c r="S88" s="95"/>
      <c r="T88" s="95"/>
      <c r="U88" s="95"/>
    </row>
    <row r="89" spans="5:21" s="4" customFormat="1" ht="17.25" customHeight="1" x14ac:dyDescent="0.35">
      <c r="E89" s="11"/>
      <c r="F89" s="11"/>
      <c r="G89" s="11"/>
      <c r="H89" s="11"/>
      <c r="I89" s="11"/>
      <c r="J89" s="11"/>
      <c r="K89" s="11"/>
      <c r="L89" s="11"/>
      <c r="M89" s="95"/>
      <c r="N89" s="95"/>
      <c r="O89" s="11"/>
      <c r="P89" s="95"/>
      <c r="Q89" s="11"/>
      <c r="R89" s="95"/>
      <c r="S89" s="95"/>
      <c r="T89" s="95"/>
      <c r="U89" s="95"/>
    </row>
    <row r="90" spans="5:21" s="4" customFormat="1" ht="17.25" customHeight="1" x14ac:dyDescent="0.35">
      <c r="E90" s="11"/>
      <c r="F90" s="11"/>
      <c r="G90" s="11"/>
      <c r="H90" s="11"/>
      <c r="I90" s="11"/>
      <c r="J90" s="11"/>
      <c r="K90" s="11"/>
      <c r="L90" s="11"/>
      <c r="M90" s="95"/>
      <c r="N90" s="95"/>
      <c r="O90" s="11"/>
      <c r="P90" s="95"/>
      <c r="Q90" s="11"/>
      <c r="R90" s="95"/>
      <c r="S90" s="95"/>
      <c r="T90" s="95"/>
      <c r="U90" s="95"/>
    </row>
    <row r="91" spans="5:21" s="4" customFormat="1" ht="17.25" customHeight="1" x14ac:dyDescent="0.35">
      <c r="E91" s="11"/>
      <c r="F91" s="11"/>
      <c r="G91" s="11"/>
      <c r="H91" s="11"/>
      <c r="I91" s="11"/>
      <c r="J91" s="11"/>
      <c r="K91" s="11"/>
      <c r="L91" s="11"/>
      <c r="M91" s="95"/>
      <c r="N91" s="95"/>
      <c r="O91" s="11"/>
      <c r="P91" s="95"/>
      <c r="Q91" s="11"/>
      <c r="R91" s="95"/>
      <c r="S91" s="95"/>
      <c r="T91" s="95"/>
      <c r="U91" s="95"/>
    </row>
    <row r="92" spans="5:21" s="4" customFormat="1" ht="17.25" customHeight="1" x14ac:dyDescent="0.35">
      <c r="E92" s="11"/>
      <c r="F92" s="11"/>
      <c r="G92" s="11"/>
      <c r="H92" s="11"/>
      <c r="I92" s="11"/>
      <c r="J92" s="11"/>
      <c r="K92" s="11"/>
      <c r="L92" s="11"/>
      <c r="M92" s="95"/>
      <c r="N92" s="95"/>
      <c r="O92" s="11"/>
      <c r="P92" s="95"/>
      <c r="Q92" s="11"/>
      <c r="R92" s="95"/>
      <c r="S92" s="95"/>
      <c r="T92" s="95"/>
      <c r="U92" s="95"/>
    </row>
    <row r="93" spans="5:21" s="4" customFormat="1" ht="17.25" customHeight="1" x14ac:dyDescent="0.35">
      <c r="E93" s="11"/>
      <c r="F93" s="11"/>
      <c r="G93" s="11"/>
      <c r="H93" s="11"/>
      <c r="I93" s="11"/>
      <c r="J93" s="11"/>
      <c r="K93" s="11"/>
      <c r="L93" s="11"/>
      <c r="M93" s="95"/>
      <c r="N93" s="95"/>
      <c r="O93" s="11"/>
      <c r="P93" s="95"/>
      <c r="Q93" s="11"/>
      <c r="R93" s="95"/>
      <c r="S93" s="95"/>
      <c r="T93" s="95"/>
      <c r="U93" s="95"/>
    </row>
    <row r="94" spans="5:21" s="4" customFormat="1" ht="17.25" customHeight="1" x14ac:dyDescent="0.35">
      <c r="E94" s="11"/>
      <c r="F94" s="11"/>
      <c r="G94" s="11"/>
      <c r="H94" s="11"/>
      <c r="I94" s="11"/>
      <c r="J94" s="11"/>
      <c r="K94" s="11"/>
      <c r="L94" s="11"/>
      <c r="M94" s="95"/>
      <c r="N94" s="95"/>
      <c r="O94" s="11"/>
      <c r="P94" s="95"/>
      <c r="Q94" s="11"/>
      <c r="R94" s="95"/>
      <c r="S94" s="95"/>
      <c r="T94" s="95"/>
      <c r="U94" s="95"/>
    </row>
    <row r="95" spans="5:21" s="4" customFormat="1" ht="17.25" customHeight="1" x14ac:dyDescent="0.35">
      <c r="E95" s="11"/>
      <c r="F95" s="11"/>
      <c r="G95" s="11"/>
      <c r="H95" s="11"/>
      <c r="I95" s="11"/>
      <c r="J95" s="11"/>
      <c r="K95" s="11"/>
      <c r="L95" s="11"/>
      <c r="M95" s="95"/>
      <c r="N95" s="95"/>
      <c r="O95" s="11"/>
      <c r="P95" s="95"/>
      <c r="Q95" s="11"/>
      <c r="R95" s="95"/>
      <c r="S95" s="95"/>
      <c r="T95" s="95"/>
      <c r="U95" s="95"/>
    </row>
    <row r="96" spans="5:21" s="4" customFormat="1" ht="17.25" customHeight="1" x14ac:dyDescent="0.35">
      <c r="E96" s="11"/>
      <c r="F96" s="11"/>
      <c r="G96" s="11"/>
      <c r="H96" s="11"/>
      <c r="I96" s="11"/>
      <c r="J96" s="11"/>
      <c r="K96" s="11"/>
      <c r="L96" s="11"/>
      <c r="M96" s="95"/>
      <c r="N96" s="95"/>
      <c r="O96" s="11"/>
      <c r="P96" s="95"/>
      <c r="Q96" s="11"/>
      <c r="R96" s="95"/>
      <c r="S96" s="95"/>
      <c r="T96" s="95"/>
      <c r="U96" s="95"/>
    </row>
    <row r="97" spans="5:21" s="4" customFormat="1" ht="17.25" customHeight="1" x14ac:dyDescent="0.35">
      <c r="E97" s="11"/>
      <c r="F97" s="11"/>
      <c r="G97" s="11"/>
      <c r="H97" s="11"/>
      <c r="I97" s="11"/>
      <c r="J97" s="11"/>
      <c r="K97" s="11"/>
      <c r="L97" s="11"/>
      <c r="M97" s="95"/>
      <c r="N97" s="95"/>
      <c r="O97" s="11"/>
      <c r="P97" s="95"/>
      <c r="Q97" s="11"/>
      <c r="R97" s="95"/>
      <c r="S97" s="95"/>
      <c r="T97" s="95"/>
      <c r="U97" s="95"/>
    </row>
    <row r="98" spans="5:21" s="4" customFormat="1" ht="17.25" customHeight="1" x14ac:dyDescent="0.35">
      <c r="E98" s="11"/>
      <c r="F98" s="11"/>
      <c r="G98" s="11"/>
      <c r="H98" s="11"/>
      <c r="I98" s="11"/>
      <c r="J98" s="11"/>
      <c r="K98" s="11"/>
      <c r="L98" s="11"/>
      <c r="M98" s="95"/>
      <c r="N98" s="95"/>
      <c r="O98" s="11"/>
      <c r="P98" s="95"/>
      <c r="Q98" s="11"/>
      <c r="R98" s="95"/>
      <c r="S98" s="95"/>
      <c r="T98" s="95"/>
      <c r="U98" s="95"/>
    </row>
    <row r="99" spans="5:21" s="4" customFormat="1" ht="17.25" customHeight="1" x14ac:dyDescent="0.35">
      <c r="E99" s="11"/>
      <c r="F99" s="11"/>
      <c r="G99" s="11"/>
      <c r="H99" s="11"/>
      <c r="I99" s="11"/>
      <c r="J99" s="11"/>
      <c r="K99" s="11"/>
      <c r="L99" s="11"/>
      <c r="M99" s="95"/>
      <c r="N99" s="95"/>
      <c r="O99" s="11"/>
      <c r="P99" s="95"/>
      <c r="Q99" s="11"/>
      <c r="R99" s="95"/>
      <c r="S99" s="95"/>
      <c r="T99" s="95"/>
      <c r="U99" s="95"/>
    </row>
    <row r="100" spans="5:21" s="4" customFormat="1" ht="17.25" customHeight="1" x14ac:dyDescent="0.35">
      <c r="E100" s="11"/>
      <c r="F100" s="11"/>
      <c r="G100" s="11"/>
      <c r="H100" s="11"/>
      <c r="I100" s="11"/>
      <c r="J100" s="11"/>
      <c r="K100" s="11"/>
      <c r="L100" s="11"/>
      <c r="M100" s="95"/>
      <c r="N100" s="95"/>
      <c r="O100" s="11"/>
      <c r="P100" s="95"/>
      <c r="Q100" s="11"/>
      <c r="R100" s="95"/>
      <c r="S100" s="95"/>
      <c r="T100" s="95"/>
      <c r="U100" s="95"/>
    </row>
    <row r="101" spans="5:21" s="4" customFormat="1" ht="17.25" customHeight="1" x14ac:dyDescent="0.35">
      <c r="E101" s="11"/>
      <c r="F101" s="11"/>
      <c r="G101" s="11"/>
      <c r="H101" s="11"/>
      <c r="I101" s="11"/>
      <c r="J101" s="11"/>
      <c r="K101" s="11"/>
      <c r="L101" s="11"/>
      <c r="M101" s="95"/>
      <c r="N101" s="95"/>
      <c r="O101" s="11"/>
      <c r="P101" s="95"/>
      <c r="Q101" s="11"/>
      <c r="R101" s="95"/>
      <c r="S101" s="95"/>
      <c r="T101" s="95"/>
      <c r="U101" s="95"/>
    </row>
    <row r="102" spans="5:21" s="4" customFormat="1" ht="17.25" customHeight="1" x14ac:dyDescent="0.35">
      <c r="E102" s="11"/>
      <c r="F102" s="11"/>
      <c r="G102" s="11"/>
      <c r="H102" s="11"/>
      <c r="I102" s="11"/>
      <c r="J102" s="11"/>
      <c r="K102" s="11"/>
      <c r="L102" s="11"/>
      <c r="M102" s="95"/>
      <c r="N102" s="95"/>
      <c r="O102" s="11"/>
      <c r="P102" s="95"/>
      <c r="Q102" s="11"/>
      <c r="R102" s="95"/>
      <c r="S102" s="95"/>
      <c r="T102" s="95"/>
      <c r="U102" s="95"/>
    </row>
    <row r="103" spans="5:21" s="4" customFormat="1" ht="17.25" customHeight="1" x14ac:dyDescent="0.35">
      <c r="E103" s="11"/>
      <c r="F103" s="11"/>
      <c r="G103" s="11"/>
      <c r="H103" s="11"/>
      <c r="I103" s="11"/>
      <c r="J103" s="11"/>
      <c r="K103" s="11"/>
      <c r="L103" s="11"/>
      <c r="M103" s="95"/>
      <c r="N103" s="95"/>
      <c r="O103" s="11"/>
      <c r="P103" s="95"/>
      <c r="Q103" s="11"/>
      <c r="R103" s="95"/>
      <c r="S103" s="95"/>
      <c r="T103" s="95"/>
      <c r="U103" s="95"/>
    </row>
    <row r="104" spans="5:21" s="4" customFormat="1" ht="17.25" customHeight="1" x14ac:dyDescent="0.35">
      <c r="E104" s="11"/>
      <c r="F104" s="11"/>
      <c r="G104" s="11"/>
      <c r="H104" s="11"/>
      <c r="I104" s="11"/>
      <c r="J104" s="11"/>
      <c r="K104" s="11"/>
      <c r="L104" s="11"/>
      <c r="M104" s="95"/>
      <c r="N104" s="95"/>
      <c r="O104" s="11"/>
      <c r="P104" s="95"/>
      <c r="Q104" s="11"/>
      <c r="R104" s="95"/>
      <c r="S104" s="95"/>
      <c r="T104" s="95"/>
      <c r="U104" s="95"/>
    </row>
    <row r="105" spans="5:21" s="4" customFormat="1" ht="17.25" customHeight="1" x14ac:dyDescent="0.35">
      <c r="E105" s="11"/>
      <c r="F105" s="11"/>
      <c r="G105" s="11"/>
      <c r="H105" s="11"/>
      <c r="I105" s="11"/>
      <c r="J105" s="11"/>
      <c r="K105" s="11"/>
      <c r="L105" s="11"/>
      <c r="M105" s="95"/>
      <c r="N105" s="95"/>
      <c r="O105" s="11"/>
      <c r="P105" s="95"/>
      <c r="Q105" s="11"/>
      <c r="R105" s="95"/>
      <c r="S105" s="95"/>
      <c r="T105" s="95"/>
      <c r="U105" s="95"/>
    </row>
    <row r="106" spans="5:21" s="4" customFormat="1" ht="17.25" customHeight="1" x14ac:dyDescent="0.35">
      <c r="E106" s="11"/>
      <c r="F106" s="11"/>
      <c r="G106" s="11"/>
      <c r="H106" s="11"/>
      <c r="I106" s="11"/>
      <c r="J106" s="11"/>
      <c r="K106" s="11"/>
      <c r="L106" s="11"/>
      <c r="M106" s="95"/>
      <c r="N106" s="95"/>
      <c r="O106" s="11"/>
      <c r="P106" s="95"/>
      <c r="Q106" s="11"/>
      <c r="R106" s="95"/>
      <c r="S106" s="95"/>
      <c r="T106" s="95"/>
      <c r="U106" s="95"/>
    </row>
    <row r="107" spans="5:21" s="4" customFormat="1" ht="17.25" customHeight="1" x14ac:dyDescent="0.35">
      <c r="E107" s="11"/>
      <c r="F107" s="11"/>
      <c r="G107" s="11"/>
      <c r="H107" s="11"/>
      <c r="I107" s="11"/>
      <c r="J107" s="11"/>
      <c r="K107" s="11"/>
      <c r="L107" s="11"/>
      <c r="M107" s="95"/>
      <c r="N107" s="95"/>
      <c r="O107" s="11"/>
      <c r="P107" s="95"/>
      <c r="Q107" s="11"/>
      <c r="R107" s="95"/>
      <c r="S107" s="95"/>
      <c r="T107" s="95"/>
      <c r="U107" s="95"/>
    </row>
    <row r="108" spans="5:21" s="4" customFormat="1" ht="17.25" customHeight="1" x14ac:dyDescent="0.35">
      <c r="E108" s="11"/>
      <c r="F108" s="11"/>
      <c r="G108" s="11"/>
      <c r="H108" s="11"/>
      <c r="I108" s="11"/>
      <c r="J108" s="11"/>
      <c r="K108" s="11"/>
      <c r="L108" s="11"/>
      <c r="M108" s="95"/>
      <c r="N108" s="95"/>
      <c r="O108" s="11"/>
      <c r="P108" s="95"/>
      <c r="Q108" s="11"/>
      <c r="R108" s="95"/>
      <c r="S108" s="95"/>
      <c r="T108" s="95"/>
      <c r="U108" s="95"/>
    </row>
    <row r="109" spans="5:21" s="4" customFormat="1" ht="17.25" customHeight="1" x14ac:dyDescent="0.35">
      <c r="E109" s="11"/>
      <c r="F109" s="11"/>
      <c r="G109" s="11"/>
      <c r="H109" s="11"/>
      <c r="I109" s="11"/>
      <c r="J109" s="11"/>
      <c r="K109" s="11"/>
      <c r="L109" s="11"/>
      <c r="M109" s="95"/>
      <c r="N109" s="95"/>
      <c r="O109" s="11"/>
      <c r="P109" s="95"/>
      <c r="Q109" s="11"/>
      <c r="R109" s="95"/>
      <c r="S109" s="95"/>
      <c r="T109" s="95"/>
      <c r="U109" s="95"/>
    </row>
    <row r="110" spans="5:21" s="4" customFormat="1" ht="17.25" customHeight="1" x14ac:dyDescent="0.35">
      <c r="E110" s="11"/>
      <c r="F110" s="11"/>
      <c r="G110" s="11"/>
      <c r="H110" s="11"/>
      <c r="I110" s="11"/>
      <c r="J110" s="11"/>
      <c r="K110" s="11"/>
      <c r="L110" s="11"/>
      <c r="M110" s="95"/>
      <c r="N110" s="95"/>
      <c r="O110" s="11"/>
      <c r="P110" s="95"/>
      <c r="Q110" s="11"/>
      <c r="R110" s="95"/>
      <c r="S110" s="95"/>
      <c r="T110" s="95"/>
      <c r="U110" s="95"/>
    </row>
    <row r="111" spans="5:21" s="4" customFormat="1" ht="17.25" customHeight="1" x14ac:dyDescent="0.35">
      <c r="E111" s="11"/>
      <c r="F111" s="11"/>
      <c r="G111" s="11"/>
      <c r="H111" s="11"/>
      <c r="I111" s="11"/>
      <c r="J111" s="11"/>
      <c r="K111" s="11"/>
      <c r="L111" s="11"/>
      <c r="M111" s="95"/>
      <c r="N111" s="95"/>
      <c r="O111" s="11"/>
      <c r="P111" s="95"/>
      <c r="Q111" s="11"/>
      <c r="R111" s="95"/>
      <c r="S111" s="95"/>
      <c r="T111" s="95"/>
      <c r="U111" s="95"/>
    </row>
  </sheetData>
  <sheetProtection algorithmName="SHA-512" hashValue="O/aF7N+GahVA7zNPGESb/m6db7DNIepcW6Up3rC2A2jeGPksC+38XyJ0MiZ0EbImcKvsmWHd6qdLDfONMeAOHA==" saltValue="t1VDzuTg95FWPMx0LQTSMw==" spinCount="100000" sheet="1" selectLockedCells="1"/>
  <mergeCells count="51">
    <mergeCell ref="L20:M20"/>
    <mergeCell ref="L21:M21"/>
    <mergeCell ref="O27:U27"/>
    <mergeCell ref="O22:U22"/>
    <mergeCell ref="O23:U23"/>
    <mergeCell ref="O24:U24"/>
    <mergeCell ref="O25:U25"/>
    <mergeCell ref="O26:U26"/>
    <mergeCell ref="D3:H3"/>
    <mergeCell ref="L16:M16"/>
    <mergeCell ref="L15:M15"/>
    <mergeCell ref="O9:U9"/>
    <mergeCell ref="O10:U10"/>
    <mergeCell ref="O11:U11"/>
    <mergeCell ref="O12:U12"/>
    <mergeCell ref="O13:U13"/>
    <mergeCell ref="O14:U14"/>
    <mergeCell ref="O15:U15"/>
    <mergeCell ref="O16:U16"/>
    <mergeCell ref="O7:U7"/>
    <mergeCell ref="L7:M7"/>
    <mergeCell ref="Q4:U4"/>
    <mergeCell ref="Q5:U5"/>
    <mergeCell ref="K3:U3"/>
    <mergeCell ref="B4:C4"/>
    <mergeCell ref="B5:C5"/>
    <mergeCell ref="L8:M8"/>
    <mergeCell ref="L9:M9"/>
    <mergeCell ref="L14:M14"/>
    <mergeCell ref="L13:M13"/>
    <mergeCell ref="L12:M12"/>
    <mergeCell ref="L11:M11"/>
    <mergeCell ref="L10:M10"/>
    <mergeCell ref="D5:F5"/>
    <mergeCell ref="D4:F4"/>
    <mergeCell ref="D32:U32"/>
    <mergeCell ref="O8:U8"/>
    <mergeCell ref="L17:M17"/>
    <mergeCell ref="L18:M18"/>
    <mergeCell ref="L19:M19"/>
    <mergeCell ref="O20:U20"/>
    <mergeCell ref="O21:U21"/>
    <mergeCell ref="O17:U17"/>
    <mergeCell ref="O18:U18"/>
    <mergeCell ref="O19:U19"/>
    <mergeCell ref="L25:M25"/>
    <mergeCell ref="L26:M26"/>
    <mergeCell ref="L27:M27"/>
    <mergeCell ref="L22:M22"/>
    <mergeCell ref="L23:M23"/>
    <mergeCell ref="L24:M24"/>
  </mergeCells>
  <conditionalFormatting sqref="D6">
    <cfRule type="containsText" dxfId="358" priority="51" operator="containsText" text="MISSING">
      <formula>NOT(ISERROR(SEARCH("MISSING",D6)))</formula>
    </cfRule>
  </conditionalFormatting>
  <conditionalFormatting sqref="D7 F7 L7 O7">
    <cfRule type="expression" dxfId="357" priority="342">
      <formula>AND($J7="",$Q7&lt;&gt;"")</formula>
    </cfRule>
  </conditionalFormatting>
  <conditionalFormatting sqref="D29:D32">
    <cfRule type="containsText" dxfId="356" priority="1" operator="containsText" text="MISSING">
      <formula>NOT(ISERROR(SEARCH("MISSING",D29)))</formula>
    </cfRule>
  </conditionalFormatting>
  <conditionalFormatting sqref="F6">
    <cfRule type="expression" dxfId="355" priority="359">
      <formula>AND($F6="",$Q6&lt;&gt;"")</formula>
    </cfRule>
  </conditionalFormatting>
  <conditionalFormatting sqref="G5">
    <cfRule type="expression" dxfId="354" priority="363">
      <formula>AND($D5="",$W5&lt;&gt;"")</formula>
    </cfRule>
  </conditionalFormatting>
  <conditionalFormatting sqref="J7:J27">
    <cfRule type="expression" dxfId="353" priority="4">
      <formula>AND($J7="",$Q7&lt;&gt;"")</formula>
    </cfRule>
  </conditionalFormatting>
  <conditionalFormatting sqref="W8:Z27">
    <cfRule type="containsText" dxfId="352" priority="2" operator="containsText" text="must">
      <formula>NOT(ISERROR(SEARCH("must",W8)))</formula>
    </cfRule>
  </conditionalFormatting>
  <dataValidations count="4">
    <dataValidation type="list" allowBlank="1" showInputMessage="1" showErrorMessage="1" sqref="L8:M26" xr:uid="{00000000-0002-0000-0300-000000000000}">
      <formula1>Activity</formula1>
    </dataValidation>
    <dataValidation type="list" allowBlank="1" showInputMessage="1" showErrorMessage="1" sqref="N8:N16" xr:uid="{00000000-0002-0000-0300-000001000000}">
      <formula1>Program</formula1>
    </dataValidation>
    <dataValidation type="list" allowBlank="1" showErrorMessage="1" sqref="J8:J26" xr:uid="{00000000-0002-0000-0300-000002000000}">
      <formula1>Program</formula1>
    </dataValidation>
    <dataValidation type="list" showInputMessage="1" showErrorMessage="1" error="Please choose from rulista" sqref="F8:F26" xr:uid="{3E33AEE2-9AE5-4A3F-8B79-6AEA6CA45079}">
      <formula1>WP.list</formula1>
    </dataValidation>
  </dataValidations>
  <printOptions horizontalCentered="1" verticalCentered="1"/>
  <pageMargins left="0.7" right="0.7" top="0.75" bottom="0.75" header="0.3" footer="0.3"/>
  <pageSetup paperSize="9" scale="81" orientation="landscape" r:id="rId1"/>
  <headerFooter scaleWithDoc="0">
    <oddHeader>&amp;L&amp;"Arial Narrow,Fet"&amp;12Karolinska Institutet&amp;C&amp;"-,Fet"&amp;14TIME-SHEET</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D70B7-0259-4DCE-9FC5-1D11BC5AFE73}">
  <dimension ref="B1:AH111"/>
  <sheetViews>
    <sheetView showGridLines="0" zoomScale="70" zoomScaleNormal="70" workbookViewId="0">
      <selection activeCell="AK6" sqref="AK6"/>
    </sheetView>
  </sheetViews>
  <sheetFormatPr defaultColWidth="9.1796875" defaultRowHeight="14.5" x14ac:dyDescent="0.35"/>
  <cols>
    <col min="1" max="1" width="1.54296875" customWidth="1"/>
    <col min="2" max="2" width="14.81640625" style="4" customWidth="1"/>
    <col min="3" max="3" width="2.54296875" style="4" customWidth="1"/>
    <col min="4" max="4" width="30.81640625" style="4" customWidth="1"/>
    <col min="5" max="5" width="1.81640625" style="11" customWidth="1"/>
    <col min="6" max="6" width="12.54296875" style="11" customWidth="1"/>
    <col min="7" max="7" width="1.81640625" style="11" customWidth="1"/>
    <col min="8" max="8" width="16.81640625" style="11" customWidth="1"/>
    <col min="9" max="9" width="1.81640625" style="11" customWidth="1"/>
    <col min="10" max="10" width="18" style="11" customWidth="1"/>
    <col min="11" max="11" width="1.81640625" style="11" customWidth="1"/>
    <col min="12" max="12" width="9" style="11" hidden="1" customWidth="1"/>
    <col min="13" max="13" width="9.1796875" style="95" hidden="1" customWidth="1"/>
    <col min="14" max="14" width="3.453125" style="95" hidden="1" customWidth="1"/>
    <col min="15" max="15" width="9.54296875" style="11" bestFit="1" customWidth="1"/>
    <col min="16" max="16" width="3.54296875" style="95" customWidth="1"/>
    <col min="17" max="17" width="9.1796875" style="11" bestFit="1" customWidth="1"/>
    <col min="18" max="18" width="1.453125" style="95" customWidth="1"/>
    <col min="19" max="19" width="9.1796875" style="95" bestFit="1" customWidth="1"/>
    <col min="20" max="20" width="1.1796875" style="95" customWidth="1"/>
    <col min="21" max="21" width="9.1796875" style="95" customWidth="1"/>
    <col min="22" max="22" width="1.81640625" customWidth="1"/>
    <col min="23" max="23" width="25.54296875" hidden="1" customWidth="1"/>
    <col min="24" max="24" width="29.81640625" hidden="1" customWidth="1"/>
    <col min="25" max="25" width="30" hidden="1" customWidth="1"/>
    <col min="26" max="26" width="24.81640625" hidden="1" customWidth="1"/>
    <col min="27" max="27" width="22.81640625" hidden="1" customWidth="1"/>
    <col min="28" max="28" width="29.1796875" hidden="1" customWidth="1"/>
    <col min="29" max="31" width="19.81640625" hidden="1" customWidth="1"/>
    <col min="32" max="32" width="18.453125" hidden="1" customWidth="1"/>
    <col min="33" max="33" width="18" hidden="1" customWidth="1"/>
    <col min="34" max="34" width="10.54296875" bestFit="1" customWidth="1"/>
  </cols>
  <sheetData>
    <row r="1" spans="2:34" ht="30.75" customHeight="1" x14ac:dyDescent="0.5">
      <c r="B1" s="144"/>
      <c r="C1" s="145" t="s">
        <v>6</v>
      </c>
      <c r="D1" s="146"/>
      <c r="E1" s="147"/>
      <c r="F1" s="147"/>
      <c r="G1" s="147"/>
      <c r="H1" s="147"/>
      <c r="I1" s="147"/>
      <c r="J1" s="147"/>
      <c r="K1" s="147"/>
      <c r="L1" s="147"/>
      <c r="M1" s="148"/>
      <c r="N1" s="148"/>
      <c r="O1" s="147"/>
      <c r="P1" s="148"/>
      <c r="Q1" s="147"/>
      <c r="R1" s="148"/>
      <c r="S1" s="148"/>
      <c r="T1" s="148"/>
      <c r="U1" s="148"/>
    </row>
    <row r="2" spans="2:34" ht="16" thickBot="1" x14ac:dyDescent="0.4">
      <c r="E2" s="130" t="e">
        <f>IF(#REF!="","","Detailed error message is displayed to the right =&gt;")</f>
        <v>#REF!</v>
      </c>
      <c r="F2" s="2"/>
      <c r="G2" s="2"/>
      <c r="H2" s="2"/>
      <c r="I2" s="2"/>
      <c r="J2" s="1"/>
      <c r="K2" s="1"/>
      <c r="L2" s="1"/>
      <c r="M2" s="32"/>
      <c r="N2" s="32"/>
      <c r="O2" s="1"/>
      <c r="P2" s="32"/>
      <c r="Q2" s="1"/>
      <c r="R2" s="32"/>
      <c r="S2" s="32"/>
      <c r="T2" s="32"/>
      <c r="U2" s="32"/>
    </row>
    <row r="3" spans="2:34" ht="20.149999999999999" customHeight="1" thickBot="1" x14ac:dyDescent="0.4">
      <c r="B3" s="39" t="s">
        <v>7</v>
      </c>
      <c r="C3" s="39"/>
      <c r="D3" s="277" t="s">
        <v>8</v>
      </c>
      <c r="E3" s="277"/>
      <c r="F3" s="277"/>
      <c r="G3" s="277"/>
      <c r="H3" s="277"/>
      <c r="I3" s="39"/>
      <c r="J3" s="177" t="s">
        <v>9</v>
      </c>
      <c r="K3" s="286">
        <v>2023</v>
      </c>
      <c r="L3" s="287"/>
      <c r="M3" s="287"/>
      <c r="N3" s="287"/>
      <c r="O3" s="287"/>
      <c r="P3" s="287"/>
      <c r="Q3" s="287"/>
      <c r="R3" s="287"/>
      <c r="S3" s="287"/>
      <c r="T3" s="287"/>
      <c r="U3" s="288"/>
    </row>
    <row r="4" spans="2:34" ht="20.25" customHeight="1" x14ac:dyDescent="0.35">
      <c r="B4" s="272" t="s">
        <v>10</v>
      </c>
      <c r="C4" s="272"/>
      <c r="D4" s="289" t="s">
        <v>26</v>
      </c>
      <c r="E4" s="289"/>
      <c r="F4" s="289"/>
      <c r="G4" s="175"/>
      <c r="H4" s="33" t="s">
        <v>11</v>
      </c>
      <c r="I4" s="175"/>
      <c r="J4" s="187" t="s">
        <v>27</v>
      </c>
      <c r="O4" s="33" t="s">
        <v>12</v>
      </c>
      <c r="P4" s="178"/>
      <c r="Q4" s="293" t="s">
        <v>28</v>
      </c>
      <c r="R4" s="294"/>
      <c r="S4" s="294"/>
      <c r="T4" s="294"/>
      <c r="U4" s="295"/>
      <c r="V4" s="175"/>
      <c r="W4" s="175"/>
      <c r="X4" s="175"/>
      <c r="Y4" s="175"/>
      <c r="Z4" s="175"/>
      <c r="AA4" s="175"/>
      <c r="AB4" s="175"/>
      <c r="AC4" s="175"/>
      <c r="AD4" s="175"/>
      <c r="AE4" s="175"/>
      <c r="AF4" s="175"/>
      <c r="AG4" s="175"/>
      <c r="AH4" s="175"/>
    </row>
    <row r="5" spans="2:34" ht="26.25" customHeight="1" x14ac:dyDescent="0.35">
      <c r="B5" s="273" t="s">
        <v>13</v>
      </c>
      <c r="C5" s="272"/>
      <c r="D5" s="289" t="s">
        <v>29</v>
      </c>
      <c r="E5" s="289"/>
      <c r="F5" s="289"/>
      <c r="G5" s="176"/>
      <c r="H5" s="33" t="s">
        <v>11</v>
      </c>
      <c r="I5" s="175"/>
      <c r="J5" s="187" t="s">
        <v>27</v>
      </c>
      <c r="O5" s="33" t="s">
        <v>12</v>
      </c>
      <c r="P5" s="178"/>
      <c r="Q5" s="290" t="s">
        <v>30</v>
      </c>
      <c r="R5" s="291"/>
      <c r="S5" s="291"/>
      <c r="T5" s="291"/>
      <c r="U5" s="292"/>
      <c r="V5" s="175"/>
      <c r="W5" s="176"/>
      <c r="Z5" s="176"/>
    </row>
    <row r="6" spans="2:34" ht="31.5" customHeight="1" x14ac:dyDescent="0.35">
      <c r="B6" s="60"/>
      <c r="C6" s="60"/>
      <c r="D6" s="63" t="str">
        <f>IF(OR(Member=0,Supervisor=0,Title.member=0,Title.supervisor=0),"• Missing information – Fill in all names and title/function on the Start Page","")</f>
        <v>• Missing information – Fill in all names and title/function on the Start Page</v>
      </c>
      <c r="E6"/>
      <c r="F6" s="92"/>
      <c r="G6" s="92"/>
      <c r="H6" s="92"/>
      <c r="I6" s="92"/>
      <c r="J6" s="93"/>
      <c r="K6" s="94"/>
      <c r="L6" s="94"/>
      <c r="M6" s="94"/>
      <c r="N6" s="94"/>
      <c r="O6" s="94"/>
      <c r="P6" s="94"/>
      <c r="Q6" s="94"/>
      <c r="R6" s="94"/>
      <c r="S6" s="94"/>
      <c r="T6" s="94"/>
      <c r="U6" s="94"/>
    </row>
    <row r="7" spans="2:34" ht="20.149999999999999" customHeight="1" x14ac:dyDescent="0.35">
      <c r="B7" s="97"/>
      <c r="C7" s="97"/>
      <c r="D7" s="96" t="s">
        <v>14</v>
      </c>
      <c r="E7" s="76"/>
      <c r="F7" s="96" t="s">
        <v>15</v>
      </c>
      <c r="G7" s="76"/>
      <c r="H7" s="96" t="s">
        <v>16</v>
      </c>
      <c r="I7" s="96"/>
      <c r="J7" s="96" t="s">
        <v>17</v>
      </c>
      <c r="K7" s="96"/>
      <c r="L7" s="278"/>
      <c r="M7" s="278"/>
      <c r="N7" s="96"/>
      <c r="O7" s="278" t="s">
        <v>18</v>
      </c>
      <c r="P7" s="279"/>
      <c r="Q7" s="279"/>
      <c r="R7" s="279"/>
      <c r="S7" s="279"/>
      <c r="T7" s="279"/>
      <c r="U7" s="279"/>
      <c r="AA7" s="112" t="s">
        <v>19</v>
      </c>
      <c r="AB7" s="112" t="s">
        <v>20</v>
      </c>
      <c r="AC7" s="112" t="s">
        <v>21</v>
      </c>
      <c r="AD7" s="112" t="s">
        <v>22</v>
      </c>
      <c r="AE7" s="112" t="s">
        <v>23</v>
      </c>
      <c r="AF7" s="112" t="s">
        <v>24</v>
      </c>
    </row>
    <row r="8" spans="2:34" ht="17.149999999999999" customHeight="1" x14ac:dyDescent="0.35">
      <c r="B8" s="131">
        <v>1</v>
      </c>
      <c r="D8" s="188" t="s">
        <v>31</v>
      </c>
      <c r="E8" s="76"/>
      <c r="F8" s="188" t="s">
        <v>32</v>
      </c>
      <c r="G8" s="76"/>
      <c r="H8" s="188">
        <v>599437</v>
      </c>
      <c r="I8" s="102"/>
      <c r="J8" s="188" t="s">
        <v>33</v>
      </c>
      <c r="K8" s="96"/>
      <c r="L8" s="268"/>
      <c r="M8" s="270"/>
      <c r="N8" s="97"/>
      <c r="O8" s="268"/>
      <c r="P8" s="269"/>
      <c r="Q8" s="269"/>
      <c r="R8" s="269"/>
      <c r="S8" s="269"/>
      <c r="T8" s="269"/>
      <c r="U8" s="270"/>
      <c r="W8" s="40" t="str">
        <f>IF(AND(AB8="SANT",WP.01=""),"You must enter a WP number!","")</f>
        <v/>
      </c>
      <c r="X8" s="40" t="str">
        <f>IF(AND(Project.01&gt;0,Contract.01=""),"You must enter a Contract number!","")</f>
        <v/>
      </c>
      <c r="Y8" s="40" t="str">
        <f t="shared" ref="Y8:Y26" si="0">IF(AND(D8&gt;0,J8=""),"You must enter a Programme/type!","")</f>
        <v/>
      </c>
      <c r="Z8" s="40" t="str">
        <f>IF(AND(Type.01="FP7",Activity.01=""),"You must enter a FP7 activity!","")</f>
        <v/>
      </c>
      <c r="AA8" s="112">
        <f t="shared" ref="AA8:AA26" si="1">IF(W8="",0,1)</f>
        <v>0</v>
      </c>
      <c r="AB8" s="112" t="str">
        <f>IF(OR(Type.01="H2020",Type.01="FP7"),"SANT","FALSKT")</f>
        <v>FALSKT</v>
      </c>
      <c r="AC8" s="112">
        <f t="shared" ref="AC8:AE26" si="2">IF(X8="",0,1)</f>
        <v>0</v>
      </c>
      <c r="AD8" s="112">
        <f t="shared" si="2"/>
        <v>0</v>
      </c>
      <c r="AE8" s="112">
        <f t="shared" si="2"/>
        <v>0</v>
      </c>
      <c r="AF8" s="112">
        <f t="shared" ref="AF8:AF26" si="3">IF(D8="",0,1)</f>
        <v>1</v>
      </c>
    </row>
    <row r="9" spans="2:34" ht="17.149999999999999" customHeight="1" x14ac:dyDescent="0.35">
      <c r="B9" s="131">
        <v>2</v>
      </c>
      <c r="D9" s="188" t="s">
        <v>31</v>
      </c>
      <c r="E9" s="76"/>
      <c r="F9" s="188" t="s">
        <v>34</v>
      </c>
      <c r="G9" s="76"/>
      <c r="H9" s="188">
        <v>599437</v>
      </c>
      <c r="I9" s="103"/>
      <c r="J9" s="188" t="s">
        <v>33</v>
      </c>
      <c r="K9" s="96"/>
      <c r="L9" s="268"/>
      <c r="M9" s="270"/>
      <c r="N9" s="97"/>
      <c r="O9" s="268"/>
      <c r="P9" s="269"/>
      <c r="Q9" s="269"/>
      <c r="R9" s="269"/>
      <c r="S9" s="269"/>
      <c r="T9" s="269"/>
      <c r="U9" s="270"/>
      <c r="W9" s="40" t="str">
        <f>IF(AND(AB9="SANT",WP.02=""),"You must enter a WP number!","")</f>
        <v/>
      </c>
      <c r="X9" s="40" t="str">
        <f>IF(AND(Project.02&gt;0,Contract.02=""),"You must enter a Contract number!","")</f>
        <v/>
      </c>
      <c r="Y9" s="40" t="str">
        <f t="shared" si="0"/>
        <v/>
      </c>
      <c r="Z9" s="40" t="str">
        <f>IF(AND(Type.02="FP7",Activity.02=""),"You must enter a FP7 activity!","")</f>
        <v/>
      </c>
      <c r="AA9" s="112">
        <f t="shared" si="1"/>
        <v>0</v>
      </c>
      <c r="AB9" s="112" t="str">
        <f>IF(OR(Type.02="H2020",Type.02="FP7"),"SANT","FALSKT")</f>
        <v>FALSKT</v>
      </c>
      <c r="AC9" s="112">
        <f t="shared" si="2"/>
        <v>0</v>
      </c>
      <c r="AD9" s="112">
        <f t="shared" si="2"/>
        <v>0</v>
      </c>
      <c r="AE9" s="112">
        <f t="shared" si="2"/>
        <v>0</v>
      </c>
      <c r="AF9" s="112">
        <f t="shared" si="3"/>
        <v>1</v>
      </c>
    </row>
    <row r="10" spans="2:34" ht="17.149999999999999" customHeight="1" x14ac:dyDescent="0.35">
      <c r="B10" s="131">
        <v>3</v>
      </c>
      <c r="D10" s="101"/>
      <c r="E10" s="76"/>
      <c r="F10" s="101"/>
      <c r="G10" s="76"/>
      <c r="H10" s="101"/>
      <c r="I10" s="103"/>
      <c r="J10" s="101"/>
      <c r="K10" s="96"/>
      <c r="L10" s="268"/>
      <c r="M10" s="270"/>
      <c r="N10" s="97"/>
      <c r="O10" s="268"/>
      <c r="P10" s="269"/>
      <c r="Q10" s="269"/>
      <c r="R10" s="269"/>
      <c r="S10" s="269"/>
      <c r="T10" s="269"/>
      <c r="U10" s="270"/>
      <c r="W10" s="40" t="str">
        <f>IF(AND(AB10="SANT",WP.03=""),"You must enter a WP number!","")</f>
        <v/>
      </c>
      <c r="X10" s="40" t="str">
        <f>IF(AND(Project.03&gt;0,Contract.03=""),"You must enter a Contract number!","")</f>
        <v/>
      </c>
      <c r="Y10" s="40" t="str">
        <f t="shared" si="0"/>
        <v/>
      </c>
      <c r="Z10" s="40" t="str">
        <f>IF(AND(Type.03="FP7",Activity.03=""),"You must enter a FP7 activity!","")</f>
        <v/>
      </c>
      <c r="AA10" s="112">
        <f t="shared" si="1"/>
        <v>0</v>
      </c>
      <c r="AB10" s="112" t="str">
        <f>IF(OR(Type.03="H2020",Type.03="FP7"),"SANT","FALSKT")</f>
        <v>FALSKT</v>
      </c>
      <c r="AC10" s="112">
        <f t="shared" si="2"/>
        <v>0</v>
      </c>
      <c r="AD10" s="112">
        <f t="shared" si="2"/>
        <v>0</v>
      </c>
      <c r="AE10" s="112">
        <f t="shared" si="2"/>
        <v>0</v>
      </c>
      <c r="AF10" s="112">
        <f t="shared" si="3"/>
        <v>0</v>
      </c>
    </row>
    <row r="11" spans="2:34" ht="17.149999999999999" customHeight="1" x14ac:dyDescent="0.35">
      <c r="B11" s="131">
        <v>4</v>
      </c>
      <c r="D11" s="101"/>
      <c r="E11" s="76"/>
      <c r="F11" s="101"/>
      <c r="G11" s="76"/>
      <c r="H11" s="101"/>
      <c r="I11" s="103"/>
      <c r="J11" s="101"/>
      <c r="K11" s="96"/>
      <c r="L11" s="268"/>
      <c r="M11" s="270"/>
      <c r="N11" s="97"/>
      <c r="O11" s="268"/>
      <c r="P11" s="269"/>
      <c r="Q11" s="269"/>
      <c r="R11" s="269"/>
      <c r="S11" s="269"/>
      <c r="T11" s="269"/>
      <c r="U11" s="270"/>
      <c r="W11" s="40" t="str">
        <f>IF(AND(AB11="SANT",WP.04=""),"You must enter a WP number!","")</f>
        <v/>
      </c>
      <c r="X11" s="40" t="str">
        <f>IF(AND(Project.04&gt;0,Contract.04=""),"You must enter a Contract number!","")</f>
        <v/>
      </c>
      <c r="Y11" s="40" t="str">
        <f t="shared" si="0"/>
        <v/>
      </c>
      <c r="Z11" s="40" t="str">
        <f>IF(AND(Type.04="FP7",Activity.04=""),"You must enter a FP7 activity!","")</f>
        <v/>
      </c>
      <c r="AA11" s="112">
        <f t="shared" si="1"/>
        <v>0</v>
      </c>
      <c r="AB11" s="112" t="str">
        <f>IF(OR(Type.04="H2020",Type.04="FP7"),"SANT","FALSKT")</f>
        <v>FALSKT</v>
      </c>
      <c r="AC11" s="112">
        <f t="shared" si="2"/>
        <v>0</v>
      </c>
      <c r="AD11" s="112">
        <f t="shared" si="2"/>
        <v>0</v>
      </c>
      <c r="AE11" s="112">
        <f t="shared" si="2"/>
        <v>0</v>
      </c>
      <c r="AF11" s="112">
        <f t="shared" si="3"/>
        <v>0</v>
      </c>
    </row>
    <row r="12" spans="2:34" ht="17.149999999999999" customHeight="1" x14ac:dyDescent="0.35">
      <c r="B12" s="131">
        <v>5</v>
      </c>
      <c r="D12" s="101"/>
      <c r="E12" s="76"/>
      <c r="F12" s="101"/>
      <c r="G12" s="76"/>
      <c r="H12" s="101"/>
      <c r="I12" s="103"/>
      <c r="J12" s="101"/>
      <c r="K12" s="96"/>
      <c r="L12" s="268"/>
      <c r="M12" s="270"/>
      <c r="N12" s="97"/>
      <c r="O12" s="268"/>
      <c r="P12" s="269"/>
      <c r="Q12" s="269"/>
      <c r="R12" s="269"/>
      <c r="S12" s="269"/>
      <c r="T12" s="269"/>
      <c r="U12" s="270"/>
      <c r="W12" s="40" t="str">
        <f>IF(AND(AB12="SANT",WP.05=""),"You must enter a WP number!","")</f>
        <v/>
      </c>
      <c r="X12" s="40" t="str">
        <f>IF(AND(Project.05&gt;0,Contract.05=""),"You must enter a Contract number!","")</f>
        <v/>
      </c>
      <c r="Y12" s="40" t="str">
        <f t="shared" si="0"/>
        <v/>
      </c>
      <c r="Z12" s="40" t="str">
        <f>IF(AND(Type.05="FP7",Activity.05=""),"You must enter a FP7 activity!","")</f>
        <v/>
      </c>
      <c r="AA12" s="112">
        <f t="shared" si="1"/>
        <v>0</v>
      </c>
      <c r="AB12" s="112" t="str">
        <f>IF(OR(Type.05="H2020",Type.05="FP7"),"SANT","FALSKT")</f>
        <v>FALSKT</v>
      </c>
      <c r="AC12" s="112">
        <f t="shared" si="2"/>
        <v>0</v>
      </c>
      <c r="AD12" s="112">
        <f t="shared" si="2"/>
        <v>0</v>
      </c>
      <c r="AE12" s="112">
        <f t="shared" si="2"/>
        <v>0</v>
      </c>
      <c r="AF12" s="112">
        <f t="shared" si="3"/>
        <v>0</v>
      </c>
    </row>
    <row r="13" spans="2:34" ht="17.149999999999999" customHeight="1" x14ac:dyDescent="0.35">
      <c r="B13" s="131">
        <v>6</v>
      </c>
      <c r="D13" s="101"/>
      <c r="E13" s="76"/>
      <c r="F13" s="101"/>
      <c r="G13" s="76"/>
      <c r="H13" s="101"/>
      <c r="I13" s="103"/>
      <c r="J13" s="101"/>
      <c r="K13" s="96"/>
      <c r="L13" s="268"/>
      <c r="M13" s="270"/>
      <c r="N13" s="97"/>
      <c r="O13" s="268"/>
      <c r="P13" s="269"/>
      <c r="Q13" s="269"/>
      <c r="R13" s="269"/>
      <c r="S13" s="269"/>
      <c r="T13" s="269"/>
      <c r="U13" s="270"/>
      <c r="W13" s="40" t="str">
        <f>IF(AND(AB13="SANT",WP.06=""),"You must enter a WP number!","")</f>
        <v/>
      </c>
      <c r="X13" s="40" t="str">
        <f>IF(AND(Project.06&gt;0,Contract.06=""),"You must enter a Contract number!","")</f>
        <v/>
      </c>
      <c r="Y13" s="40" t="str">
        <f t="shared" si="0"/>
        <v/>
      </c>
      <c r="Z13" s="40" t="str">
        <f>IF(AND(Type.06="FP7",Activity.06=""),"You must enter a FP7 activity!","")</f>
        <v/>
      </c>
      <c r="AA13" s="112">
        <f t="shared" si="1"/>
        <v>0</v>
      </c>
      <c r="AB13" s="112" t="str">
        <f>IF(OR(Type.06="H2020",Type.06="FP7"),"SANT","FALSKT")</f>
        <v>FALSKT</v>
      </c>
      <c r="AC13" s="112">
        <f t="shared" si="2"/>
        <v>0</v>
      </c>
      <c r="AD13" s="112">
        <f t="shared" si="2"/>
        <v>0</v>
      </c>
      <c r="AE13" s="112">
        <f t="shared" si="2"/>
        <v>0</v>
      </c>
      <c r="AF13" s="112">
        <f t="shared" si="3"/>
        <v>0</v>
      </c>
    </row>
    <row r="14" spans="2:34" ht="17.149999999999999" customHeight="1" x14ac:dyDescent="0.35">
      <c r="B14" s="131">
        <v>7</v>
      </c>
      <c r="D14" s="101"/>
      <c r="E14" s="76"/>
      <c r="F14" s="101"/>
      <c r="G14" s="76"/>
      <c r="H14" s="101"/>
      <c r="I14" s="103"/>
      <c r="J14" s="101"/>
      <c r="K14" s="96"/>
      <c r="L14" s="268"/>
      <c r="M14" s="270"/>
      <c r="N14" s="97"/>
      <c r="O14" s="268"/>
      <c r="P14" s="269"/>
      <c r="Q14" s="269"/>
      <c r="R14" s="269"/>
      <c r="S14" s="269"/>
      <c r="T14" s="269"/>
      <c r="U14" s="270"/>
      <c r="W14" s="40" t="str">
        <f>IF(AND(AB14="SANT",WP.07=""),"You must enter a WP number!","")</f>
        <v/>
      </c>
      <c r="X14" s="40" t="str">
        <f>IF(AND(Project.07&gt;0,Contract.07=""),"You must enter a Contract number!","")</f>
        <v/>
      </c>
      <c r="Y14" s="40" t="str">
        <f t="shared" si="0"/>
        <v/>
      </c>
      <c r="Z14" s="40" t="str">
        <f>IF(AND(Type.07="FP7",Activity.07=""),"You must enter a FP7 activity!","")</f>
        <v/>
      </c>
      <c r="AA14" s="112">
        <f t="shared" si="1"/>
        <v>0</v>
      </c>
      <c r="AB14" s="112" t="str">
        <f>IF(OR(Type.07="H2020",Type.07="FP7"),"SANT","FALSKT")</f>
        <v>FALSKT</v>
      </c>
      <c r="AC14" s="112">
        <f t="shared" si="2"/>
        <v>0</v>
      </c>
      <c r="AD14" s="112">
        <f t="shared" si="2"/>
        <v>0</v>
      </c>
      <c r="AE14" s="112">
        <f t="shared" si="2"/>
        <v>0</v>
      </c>
      <c r="AF14" s="112">
        <f t="shared" si="3"/>
        <v>0</v>
      </c>
    </row>
    <row r="15" spans="2:34" ht="17.149999999999999" customHeight="1" x14ac:dyDescent="0.35">
      <c r="B15" s="131">
        <v>8</v>
      </c>
      <c r="D15" s="101"/>
      <c r="E15" s="104"/>
      <c r="F15" s="101"/>
      <c r="G15" s="76"/>
      <c r="H15" s="101"/>
      <c r="I15" s="103"/>
      <c r="J15" s="101"/>
      <c r="K15" s="96"/>
      <c r="L15" s="268"/>
      <c r="M15" s="270"/>
      <c r="N15" s="97"/>
      <c r="O15" s="268"/>
      <c r="P15" s="269"/>
      <c r="Q15" s="269"/>
      <c r="R15" s="269"/>
      <c r="S15" s="269"/>
      <c r="T15" s="269"/>
      <c r="U15" s="270"/>
      <c r="W15" s="40" t="str">
        <f>IF(AND(AB15="SANT",WP.08=""),"You must enter a WP number!","")</f>
        <v/>
      </c>
      <c r="X15" s="40" t="str">
        <f>IF(AND(Project.08&gt;0,Contract.08=""),"You must enter a Contract number!","")</f>
        <v/>
      </c>
      <c r="Y15" s="40" t="str">
        <f t="shared" si="0"/>
        <v/>
      </c>
      <c r="Z15" s="40" t="str">
        <f>IF(AND(Type.08="FP7",Activity.08=""),"You must enter a FP7 activity!","")</f>
        <v/>
      </c>
      <c r="AA15" s="112">
        <f t="shared" si="1"/>
        <v>0</v>
      </c>
      <c r="AB15" s="112" t="str">
        <f>IF(OR(Type.08="H2020",Type.08="FP7"),"SANT","FALSKT")</f>
        <v>FALSKT</v>
      </c>
      <c r="AC15" s="112">
        <f t="shared" si="2"/>
        <v>0</v>
      </c>
      <c r="AD15" s="112">
        <f t="shared" si="2"/>
        <v>0</v>
      </c>
      <c r="AE15" s="112">
        <f t="shared" si="2"/>
        <v>0</v>
      </c>
      <c r="AF15" s="112">
        <f t="shared" si="3"/>
        <v>0</v>
      </c>
    </row>
    <row r="16" spans="2:34" ht="17.149999999999999" customHeight="1" x14ac:dyDescent="0.35">
      <c r="B16" s="131">
        <v>9</v>
      </c>
      <c r="D16" s="101"/>
      <c r="E16" s="104"/>
      <c r="F16" s="101"/>
      <c r="G16" s="76"/>
      <c r="H16" s="101"/>
      <c r="I16" s="103"/>
      <c r="J16" s="101"/>
      <c r="K16" s="96"/>
      <c r="L16" s="268"/>
      <c r="M16" s="270"/>
      <c r="N16" s="97"/>
      <c r="O16" s="268"/>
      <c r="P16" s="269"/>
      <c r="Q16" s="269"/>
      <c r="R16" s="269"/>
      <c r="S16" s="269"/>
      <c r="T16" s="269"/>
      <c r="U16" s="270"/>
      <c r="W16" s="40" t="str">
        <f>IF(AND(AB16="SANT",WP.09=""),"You must enter a WP number!","")</f>
        <v/>
      </c>
      <c r="X16" s="40" t="str">
        <f>IF(AND(Project.09&gt;0,Contract.09=""),"You must enter a Contract number!","")</f>
        <v/>
      </c>
      <c r="Y16" s="40" t="str">
        <f t="shared" si="0"/>
        <v/>
      </c>
      <c r="Z16" s="40" t="str">
        <f>IF(AND(Type.09="FP7",Activity.09=""),"You must enter a FP7 activity!","")</f>
        <v/>
      </c>
      <c r="AA16" s="112">
        <f t="shared" si="1"/>
        <v>0</v>
      </c>
      <c r="AB16" s="112" t="str">
        <f>IF(OR(Type.09="H2020",Type.09="FP7"),"SANT","FALSKT")</f>
        <v>FALSKT</v>
      </c>
      <c r="AC16" s="112">
        <f t="shared" si="2"/>
        <v>0</v>
      </c>
      <c r="AD16" s="112">
        <f t="shared" si="2"/>
        <v>0</v>
      </c>
      <c r="AE16" s="112">
        <f t="shared" si="2"/>
        <v>0</v>
      </c>
      <c r="AF16" s="112">
        <f t="shared" si="3"/>
        <v>0</v>
      </c>
    </row>
    <row r="17" spans="2:33" ht="17.149999999999999" customHeight="1" x14ac:dyDescent="0.35">
      <c r="B17" s="131">
        <v>10</v>
      </c>
      <c r="D17" s="101"/>
      <c r="E17" s="97"/>
      <c r="F17" s="101"/>
      <c r="G17" s="97"/>
      <c r="H17" s="101"/>
      <c r="I17" s="97"/>
      <c r="J17" s="101"/>
      <c r="K17" s="96"/>
      <c r="L17" s="268"/>
      <c r="M17" s="270"/>
      <c r="N17" s="76"/>
      <c r="O17" s="268"/>
      <c r="P17" s="269"/>
      <c r="Q17" s="269"/>
      <c r="R17" s="269"/>
      <c r="S17" s="269"/>
      <c r="T17" s="269"/>
      <c r="U17" s="270"/>
      <c r="W17" s="40" t="str">
        <f>IF(AND(AB17="SANT",WP.10=""),"You must enter a WP number!","")</f>
        <v/>
      </c>
      <c r="X17" s="40" t="str">
        <f>IF(AND(Project.10&gt;0,Contract.10=""),"You must enter a Contract number!","")</f>
        <v/>
      </c>
      <c r="Y17" s="40" t="str">
        <f t="shared" si="0"/>
        <v/>
      </c>
      <c r="Z17" s="40" t="str">
        <f>IF(AND(Type.10="FP7",Activity.10=""),"You must enter a FP7 activity!","")</f>
        <v/>
      </c>
      <c r="AA17" s="112">
        <f t="shared" si="1"/>
        <v>0</v>
      </c>
      <c r="AB17" s="112" t="str">
        <f>IF(OR(Type.10="H2020",Type.10="FP7"),"SANT","FALSKT")</f>
        <v>FALSKT</v>
      </c>
      <c r="AC17" s="112">
        <f t="shared" si="2"/>
        <v>0</v>
      </c>
      <c r="AD17" s="112">
        <f t="shared" si="2"/>
        <v>0</v>
      </c>
      <c r="AE17" s="112">
        <f t="shared" si="2"/>
        <v>0</v>
      </c>
      <c r="AF17" s="112">
        <f t="shared" si="3"/>
        <v>0</v>
      </c>
    </row>
    <row r="18" spans="2:33" ht="17.149999999999999" customHeight="1" x14ac:dyDescent="0.35">
      <c r="B18" s="131">
        <v>11</v>
      </c>
      <c r="D18" s="101"/>
      <c r="E18" s="97"/>
      <c r="F18" s="101"/>
      <c r="G18" s="76"/>
      <c r="H18" s="101"/>
      <c r="I18" s="76"/>
      <c r="J18" s="101"/>
      <c r="K18" s="96"/>
      <c r="L18" s="268"/>
      <c r="M18" s="270"/>
      <c r="N18" s="99"/>
      <c r="O18" s="268"/>
      <c r="P18" s="269"/>
      <c r="Q18" s="269"/>
      <c r="R18" s="269"/>
      <c r="S18" s="269"/>
      <c r="T18" s="269"/>
      <c r="U18" s="270"/>
      <c r="W18" s="40" t="str">
        <f>IF(AND(AB18="SANT",WP.11=""),"You must enter a WP number!","")</f>
        <v/>
      </c>
      <c r="X18" s="40" t="str">
        <f>IF(AND(Project.11&gt;0,Contract.11=""),"You must enter a Contract number!","")</f>
        <v/>
      </c>
      <c r="Y18" s="40" t="str">
        <f t="shared" si="0"/>
        <v/>
      </c>
      <c r="Z18" s="40" t="str">
        <f>IF(AND(Type.11="FP7",Activity.11=""),"You must enter a FP7 activity!","")</f>
        <v/>
      </c>
      <c r="AA18" s="112">
        <f t="shared" si="1"/>
        <v>0</v>
      </c>
      <c r="AB18" s="112" t="str">
        <f>IF(OR(Type.11="H2020",Type.11="FP7"),"SANT","FALSKT")</f>
        <v>FALSKT</v>
      </c>
      <c r="AC18" s="112">
        <f t="shared" si="2"/>
        <v>0</v>
      </c>
      <c r="AD18" s="112">
        <f t="shared" si="2"/>
        <v>0</v>
      </c>
      <c r="AE18" s="112">
        <f t="shared" si="2"/>
        <v>0</v>
      </c>
      <c r="AF18" s="112">
        <f t="shared" si="3"/>
        <v>0</v>
      </c>
    </row>
    <row r="19" spans="2:33" s="6" customFormat="1" ht="17.149999999999999" customHeight="1" x14ac:dyDescent="0.35">
      <c r="B19" s="131">
        <v>12</v>
      </c>
      <c r="D19" s="101"/>
      <c r="E19" s="105"/>
      <c r="F19" s="101"/>
      <c r="G19" s="105"/>
      <c r="H19" s="101"/>
      <c r="I19" s="105"/>
      <c r="J19" s="101"/>
      <c r="K19" s="96"/>
      <c r="L19" s="268"/>
      <c r="M19" s="270"/>
      <c r="N19" s="100"/>
      <c r="O19" s="268"/>
      <c r="P19" s="269"/>
      <c r="Q19" s="269"/>
      <c r="R19" s="269"/>
      <c r="S19" s="269"/>
      <c r="T19" s="269"/>
      <c r="U19" s="270"/>
      <c r="W19" s="40" t="str">
        <f>IF(AND(AB19="SANT",WP.12=""),"You must enter a WP number!","")</f>
        <v/>
      </c>
      <c r="X19" s="40" t="str">
        <f>IF(AND(Project.12&gt;0,Contract.12=""),"You must enter a Contract number!","")</f>
        <v/>
      </c>
      <c r="Y19" s="40" t="str">
        <f t="shared" si="0"/>
        <v/>
      </c>
      <c r="Z19" s="40" t="str">
        <f>IF(AND(Type.12="FP7",Activity.12=""),"You must enter a FP7 activity!","")</f>
        <v/>
      </c>
      <c r="AA19" s="112">
        <f t="shared" si="1"/>
        <v>0</v>
      </c>
      <c r="AB19" s="112" t="str">
        <f>IF(OR(Type.12="H2020",Type.12="FP7"),"SANT","FALSKT")</f>
        <v>FALSKT</v>
      </c>
      <c r="AC19" s="112">
        <f t="shared" si="2"/>
        <v>0</v>
      </c>
      <c r="AD19" s="112">
        <f t="shared" si="2"/>
        <v>0</v>
      </c>
      <c r="AE19" s="112">
        <f t="shared" si="2"/>
        <v>0</v>
      </c>
      <c r="AF19" s="112">
        <f t="shared" si="3"/>
        <v>0</v>
      </c>
      <c r="AG19"/>
    </row>
    <row r="20" spans="2:33" ht="17.149999999999999" customHeight="1" x14ac:dyDescent="0.35">
      <c r="B20" s="131">
        <v>13</v>
      </c>
      <c r="D20" s="101"/>
      <c r="E20" s="76"/>
      <c r="F20" s="101"/>
      <c r="G20" s="76"/>
      <c r="H20" s="101"/>
      <c r="I20" s="76"/>
      <c r="J20" s="101"/>
      <c r="K20" s="96"/>
      <c r="L20" s="268"/>
      <c r="M20" s="270"/>
      <c r="N20" s="99"/>
      <c r="O20" s="268"/>
      <c r="P20" s="269"/>
      <c r="Q20" s="269"/>
      <c r="R20" s="269"/>
      <c r="S20" s="269"/>
      <c r="T20" s="269"/>
      <c r="U20" s="270"/>
      <c r="W20" s="40" t="str">
        <f>IF(AND(AB20="SANT",WP.13=""),"You must enter a WP number!","")</f>
        <v/>
      </c>
      <c r="X20" s="40" t="str">
        <f>IF(AND(Project.13&gt;0,Contract.13=""),"You must enter a Contract number!","")</f>
        <v/>
      </c>
      <c r="Y20" s="40" t="str">
        <f t="shared" si="0"/>
        <v/>
      </c>
      <c r="Z20" s="40" t="str">
        <f>IF(AND(Type.13="FP7",Activity.13=""),"You must enter a FP7 activity!","")</f>
        <v/>
      </c>
      <c r="AA20" s="112">
        <f t="shared" si="1"/>
        <v>0</v>
      </c>
      <c r="AB20" s="112" t="str">
        <f>IF(OR(Type.13="H2020",Type.13="FP7"),"SANT","FALSKT")</f>
        <v>FALSKT</v>
      </c>
      <c r="AC20" s="112">
        <f t="shared" si="2"/>
        <v>0</v>
      </c>
      <c r="AD20" s="112">
        <f t="shared" si="2"/>
        <v>0</v>
      </c>
      <c r="AE20" s="112">
        <f t="shared" si="2"/>
        <v>0</v>
      </c>
      <c r="AF20" s="112">
        <f t="shared" si="3"/>
        <v>0</v>
      </c>
    </row>
    <row r="21" spans="2:33" ht="17.149999999999999" customHeight="1" x14ac:dyDescent="0.35">
      <c r="B21" s="131">
        <v>14</v>
      </c>
      <c r="D21" s="101"/>
      <c r="E21" s="106"/>
      <c r="F21" s="101"/>
      <c r="G21" s="106"/>
      <c r="H21" s="101"/>
      <c r="I21" s="106"/>
      <c r="J21" s="101"/>
      <c r="K21" s="96"/>
      <c r="L21" s="268"/>
      <c r="M21" s="270"/>
      <c r="N21" s="106"/>
      <c r="O21" s="268"/>
      <c r="P21" s="269"/>
      <c r="Q21" s="269"/>
      <c r="R21" s="269"/>
      <c r="S21" s="269"/>
      <c r="T21" s="269"/>
      <c r="U21" s="270"/>
      <c r="W21" s="40" t="str">
        <f>IF(AND(AB21="SANT",WP.14=""),"You must enter a WP number!","")</f>
        <v/>
      </c>
      <c r="X21" s="40" t="str">
        <f>IF(AND(Project.14&gt;0,Contract.14=""),"You must enter a Contract number!","")</f>
        <v/>
      </c>
      <c r="Y21" s="40" t="str">
        <f t="shared" si="0"/>
        <v/>
      </c>
      <c r="Z21" s="40" t="str">
        <f>IF(AND(Type.14="FP7",Activity.14=""),"You must enter a FP7 activity!","")</f>
        <v/>
      </c>
      <c r="AA21" s="112">
        <f t="shared" si="1"/>
        <v>0</v>
      </c>
      <c r="AB21" s="112" t="str">
        <f>IF(OR(Type.14="H2020",Type.14="FP7"),"SANT","FALSKT")</f>
        <v>FALSKT</v>
      </c>
      <c r="AC21" s="112">
        <f t="shared" si="2"/>
        <v>0</v>
      </c>
      <c r="AD21" s="112">
        <f t="shared" si="2"/>
        <v>0</v>
      </c>
      <c r="AE21" s="112">
        <f t="shared" si="2"/>
        <v>0</v>
      </c>
      <c r="AF21" s="112">
        <f t="shared" si="3"/>
        <v>0</v>
      </c>
    </row>
    <row r="22" spans="2:33" ht="17.149999999999999" customHeight="1" x14ac:dyDescent="0.35">
      <c r="B22" s="131">
        <v>15</v>
      </c>
      <c r="D22" s="101"/>
      <c r="E22" s="76"/>
      <c r="F22" s="101"/>
      <c r="G22" s="76"/>
      <c r="H22" s="101"/>
      <c r="I22" s="76"/>
      <c r="J22" s="101"/>
      <c r="K22" s="96"/>
      <c r="L22" s="268"/>
      <c r="M22" s="270"/>
      <c r="N22" s="99"/>
      <c r="O22" s="268"/>
      <c r="P22" s="269"/>
      <c r="Q22" s="269"/>
      <c r="R22" s="269"/>
      <c r="S22" s="269"/>
      <c r="T22" s="269"/>
      <c r="U22" s="270"/>
      <c r="W22" s="40" t="str">
        <f>IF(AND(AB22="SANT",WP.15=""),"You must enter a WP number!","")</f>
        <v/>
      </c>
      <c r="X22" s="40" t="str">
        <f>IF(AND(Project.15&gt;0,Contract.15=""),"You must enter a Contract number!","")</f>
        <v/>
      </c>
      <c r="Y22" s="40" t="str">
        <f t="shared" si="0"/>
        <v/>
      </c>
      <c r="Z22" s="40" t="str">
        <f>IF(AND(Type.15="FP7",Activity.15=""),"You must enter a FP7 activity!","")</f>
        <v/>
      </c>
      <c r="AA22" s="112">
        <f t="shared" si="1"/>
        <v>0</v>
      </c>
      <c r="AB22" s="112" t="str">
        <f>IF(OR(Type.15="H2020",Type.15="FP7"),"SANT","FALSKT")</f>
        <v>FALSKT</v>
      </c>
      <c r="AC22" s="112">
        <f t="shared" si="2"/>
        <v>0</v>
      </c>
      <c r="AD22" s="112">
        <f t="shared" si="2"/>
        <v>0</v>
      </c>
      <c r="AE22" s="112">
        <f t="shared" si="2"/>
        <v>0</v>
      </c>
      <c r="AF22" s="112">
        <f t="shared" si="3"/>
        <v>0</v>
      </c>
    </row>
    <row r="23" spans="2:33" ht="17.149999999999999" customHeight="1" x14ac:dyDescent="0.35">
      <c r="B23" s="131">
        <v>16</v>
      </c>
      <c r="D23" s="101"/>
      <c r="E23" s="76"/>
      <c r="F23" s="101"/>
      <c r="G23" s="76"/>
      <c r="H23" s="101"/>
      <c r="I23" s="76"/>
      <c r="J23" s="101"/>
      <c r="K23" s="96"/>
      <c r="L23" s="268"/>
      <c r="M23" s="270"/>
      <c r="N23" s="99"/>
      <c r="O23" s="268"/>
      <c r="P23" s="269"/>
      <c r="Q23" s="269"/>
      <c r="R23" s="269"/>
      <c r="S23" s="269"/>
      <c r="T23" s="269"/>
      <c r="U23" s="270"/>
      <c r="W23" s="40" t="str">
        <f>IF(AND(AB23="SANT",WP.16=""),"You must enter a WP number!","")</f>
        <v/>
      </c>
      <c r="X23" s="40" t="str">
        <f>IF(AND(Project.16&gt;0,Contract.16=""),"You must enter a Contract number!","")</f>
        <v/>
      </c>
      <c r="Y23" s="40" t="str">
        <f t="shared" si="0"/>
        <v/>
      </c>
      <c r="Z23" s="40" t="str">
        <f>IF(AND(Type.16="FP7",Activity.16=""),"You must enter a FP7 activity!","")</f>
        <v/>
      </c>
      <c r="AA23" s="112">
        <f t="shared" si="1"/>
        <v>0</v>
      </c>
      <c r="AB23" s="112" t="str">
        <f>IF(OR(Type.16="H2020",Type.16="FP7"),"SANT","FALSKT")</f>
        <v>FALSKT</v>
      </c>
      <c r="AC23" s="112">
        <f t="shared" si="2"/>
        <v>0</v>
      </c>
      <c r="AD23" s="112">
        <f t="shared" si="2"/>
        <v>0</v>
      </c>
      <c r="AE23" s="112">
        <f t="shared" si="2"/>
        <v>0</v>
      </c>
      <c r="AF23" s="112">
        <f t="shared" si="3"/>
        <v>0</v>
      </c>
    </row>
    <row r="24" spans="2:33" ht="17.149999999999999" customHeight="1" x14ac:dyDescent="0.35">
      <c r="B24" s="131">
        <v>17</v>
      </c>
      <c r="D24" s="101"/>
      <c r="E24" s="76"/>
      <c r="F24" s="101"/>
      <c r="G24" s="76"/>
      <c r="H24" s="101"/>
      <c r="I24" s="76"/>
      <c r="J24" s="101"/>
      <c r="K24" s="96"/>
      <c r="L24" s="268"/>
      <c r="M24" s="270"/>
      <c r="N24" s="99"/>
      <c r="O24" s="268"/>
      <c r="P24" s="269"/>
      <c r="Q24" s="269"/>
      <c r="R24" s="269"/>
      <c r="S24" s="269"/>
      <c r="T24" s="269"/>
      <c r="U24" s="270"/>
      <c r="W24" s="40" t="str">
        <f>IF(AND(AB24="SANT",WP.17=""),"You must enter a WP number!","")</f>
        <v/>
      </c>
      <c r="X24" s="40" t="str">
        <f>IF(AND(Project.17&gt;0,Contract.17=""),"You must enter a Contract number!","")</f>
        <v/>
      </c>
      <c r="Y24" s="40" t="str">
        <f t="shared" si="0"/>
        <v/>
      </c>
      <c r="Z24" s="40" t="str">
        <f>IF(AND(Type.17="FP7",Activity.17=""),"You must enter a FP7 activity!","")</f>
        <v/>
      </c>
      <c r="AA24" s="112">
        <f t="shared" si="1"/>
        <v>0</v>
      </c>
      <c r="AB24" s="112" t="str">
        <f>IF(OR(Type.17="H2020",Type.17="FP7"),"SANT","FALSKT")</f>
        <v>FALSKT</v>
      </c>
      <c r="AC24" s="112">
        <f t="shared" si="2"/>
        <v>0</v>
      </c>
      <c r="AD24" s="112">
        <f t="shared" si="2"/>
        <v>0</v>
      </c>
      <c r="AE24" s="112">
        <f t="shared" si="2"/>
        <v>0</v>
      </c>
      <c r="AF24" s="112">
        <f t="shared" si="3"/>
        <v>0</v>
      </c>
    </row>
    <row r="25" spans="2:33" ht="17.149999999999999" customHeight="1" x14ac:dyDescent="0.35">
      <c r="B25" s="131">
        <v>18</v>
      </c>
      <c r="D25" s="101"/>
      <c r="E25" s="76"/>
      <c r="F25" s="101"/>
      <c r="G25" s="76"/>
      <c r="H25" s="101"/>
      <c r="I25" s="76"/>
      <c r="J25" s="101"/>
      <c r="K25" s="96"/>
      <c r="L25" s="268"/>
      <c r="M25" s="270"/>
      <c r="N25" s="99"/>
      <c r="O25" s="268"/>
      <c r="P25" s="269"/>
      <c r="Q25" s="269"/>
      <c r="R25" s="269"/>
      <c r="S25" s="269"/>
      <c r="T25" s="269"/>
      <c r="U25" s="270"/>
      <c r="W25" s="40" t="str">
        <f>IF(AND(AB25="SANT",WP.18=""),"You must enter a WP number!","")</f>
        <v/>
      </c>
      <c r="X25" s="40" t="str">
        <f>IF(AND(Project.18&gt;0,Contract.18=""),"You must enter a Contract number!","")</f>
        <v/>
      </c>
      <c r="Y25" s="40" t="str">
        <f t="shared" si="0"/>
        <v/>
      </c>
      <c r="Z25" s="40" t="str">
        <f>IF(AND(Type.18="FP7",Activity.18=""),"You must enter a FP7 activity!","")</f>
        <v/>
      </c>
      <c r="AA25" s="112">
        <f t="shared" si="1"/>
        <v>0</v>
      </c>
      <c r="AB25" s="112" t="str">
        <f>IF(OR(Type.18="H2020",Type.18="FP7"),"SANT","FALSKT")</f>
        <v>FALSKT</v>
      </c>
      <c r="AC25" s="112">
        <f t="shared" si="2"/>
        <v>0</v>
      </c>
      <c r="AD25" s="112">
        <f t="shared" si="2"/>
        <v>0</v>
      </c>
      <c r="AE25" s="112">
        <f t="shared" si="2"/>
        <v>0</v>
      </c>
      <c r="AF25" s="112">
        <f t="shared" si="3"/>
        <v>0</v>
      </c>
    </row>
    <row r="26" spans="2:33" ht="17.149999999999999" customHeight="1" x14ac:dyDescent="0.35">
      <c r="B26" s="131">
        <v>19</v>
      </c>
      <c r="D26" s="101"/>
      <c r="E26" s="76"/>
      <c r="F26" s="101"/>
      <c r="G26" s="76"/>
      <c r="H26" s="101"/>
      <c r="I26" s="76"/>
      <c r="J26" s="101"/>
      <c r="K26" s="96"/>
      <c r="L26" s="268"/>
      <c r="M26" s="270"/>
      <c r="N26" s="99"/>
      <c r="O26" s="268"/>
      <c r="P26" s="269"/>
      <c r="Q26" s="269"/>
      <c r="R26" s="269"/>
      <c r="S26" s="269"/>
      <c r="T26" s="269"/>
      <c r="U26" s="270"/>
      <c r="W26" s="40" t="str">
        <f>IF(AND(AB26="SANT",WP.19=""),"You must enter a WP number!","")</f>
        <v/>
      </c>
      <c r="X26" s="40" t="str">
        <f>IF(AND(Project.19&gt;0,Contract.19=""),"You must enter a Contract number!","")</f>
        <v/>
      </c>
      <c r="Y26" s="40" t="str">
        <f t="shared" si="0"/>
        <v/>
      </c>
      <c r="Z26" s="40" t="str">
        <f>IF(AND(Type.19="FP7",Activity.19=""),"You must enter a FP7 activity!","")</f>
        <v/>
      </c>
      <c r="AA26" s="112">
        <f t="shared" si="1"/>
        <v>0</v>
      </c>
      <c r="AB26" s="112" t="str">
        <f>IF(OR(Type.19="H2020",Type.19="FP7"),"SANT","FALSKT")</f>
        <v>FALSKT</v>
      </c>
      <c r="AC26" s="112">
        <f t="shared" si="2"/>
        <v>0</v>
      </c>
      <c r="AD26" s="112">
        <f t="shared" si="2"/>
        <v>0</v>
      </c>
      <c r="AE26" s="112">
        <f t="shared" si="2"/>
        <v>0</v>
      </c>
      <c r="AF26" s="112">
        <f t="shared" si="3"/>
        <v>0</v>
      </c>
    </row>
    <row r="27" spans="2:33" ht="15.5" x14ac:dyDescent="0.35">
      <c r="B27" s="96"/>
      <c r="C27" s="98"/>
      <c r="E27" s="76"/>
      <c r="F27" s="110"/>
      <c r="G27" s="76"/>
      <c r="H27" s="110"/>
      <c r="I27" s="76"/>
      <c r="J27" s="110"/>
      <c r="K27" s="96"/>
      <c r="L27" s="271"/>
      <c r="M27" s="271"/>
      <c r="N27" s="111"/>
      <c r="O27" s="271"/>
      <c r="P27" s="271"/>
      <c r="Q27" s="271"/>
      <c r="R27" s="271"/>
      <c r="S27" s="271"/>
      <c r="T27" s="271"/>
      <c r="U27" s="271"/>
      <c r="W27" s="6"/>
      <c r="X27" s="6"/>
      <c r="Y27" s="6"/>
      <c r="Z27" s="6"/>
      <c r="AA27" s="112"/>
      <c r="AB27" s="112"/>
      <c r="AC27" s="112"/>
      <c r="AD27" s="112"/>
      <c r="AE27" s="112"/>
      <c r="AF27" s="112"/>
    </row>
    <row r="28" spans="2:33" ht="24.75" customHeight="1" x14ac:dyDescent="0.35">
      <c r="D28" s="265" t="s">
        <v>25</v>
      </c>
      <c r="E28" s="266"/>
      <c r="F28" s="266"/>
      <c r="G28" s="266"/>
      <c r="H28" s="266"/>
      <c r="I28" s="266"/>
      <c r="J28" s="266"/>
      <c r="K28" s="266"/>
      <c r="L28" s="266"/>
      <c r="M28" s="266"/>
      <c r="N28" s="266"/>
      <c r="O28" s="266"/>
      <c r="P28" s="266"/>
      <c r="Q28" s="266"/>
      <c r="R28" s="266"/>
      <c r="S28" s="266"/>
      <c r="T28" s="266"/>
      <c r="U28" s="267"/>
    </row>
    <row r="29" spans="2:33" ht="24.75" customHeight="1" x14ac:dyDescent="0.35"/>
    <row r="34" spans="5:21" s="4" customFormat="1" ht="17.25" customHeight="1" x14ac:dyDescent="0.35">
      <c r="E34" s="11"/>
      <c r="F34" s="11"/>
      <c r="G34" s="11"/>
      <c r="H34" s="11"/>
      <c r="I34" s="11"/>
      <c r="J34" s="11"/>
      <c r="K34" s="11"/>
      <c r="L34" s="11"/>
      <c r="M34" s="95"/>
      <c r="N34" s="95"/>
      <c r="O34" s="11"/>
      <c r="P34" s="95"/>
      <c r="Q34" s="11"/>
      <c r="R34" s="95"/>
      <c r="S34" s="95"/>
      <c r="T34" s="95"/>
      <c r="U34" s="95"/>
    </row>
    <row r="35" spans="5:21" s="4" customFormat="1" ht="17.25" customHeight="1" x14ac:dyDescent="0.35">
      <c r="E35" s="11"/>
      <c r="F35" s="11"/>
      <c r="G35" s="11"/>
      <c r="H35" s="11"/>
      <c r="I35" s="11"/>
      <c r="J35" s="11"/>
      <c r="K35" s="11"/>
      <c r="L35" s="11"/>
      <c r="M35" s="95"/>
      <c r="N35" s="95"/>
      <c r="O35" s="11"/>
      <c r="P35" s="95"/>
      <c r="Q35" s="11"/>
      <c r="R35" s="95"/>
      <c r="S35" s="95"/>
      <c r="T35" s="95"/>
      <c r="U35" s="95"/>
    </row>
    <row r="36" spans="5:21" s="4" customFormat="1" ht="17.25" customHeight="1" x14ac:dyDescent="0.35">
      <c r="E36" s="11"/>
      <c r="F36" s="11"/>
      <c r="G36" s="11"/>
      <c r="H36" s="11"/>
      <c r="I36" s="11"/>
      <c r="J36" s="11"/>
      <c r="K36" s="11"/>
      <c r="L36" s="11"/>
      <c r="M36" s="95"/>
      <c r="N36" s="95"/>
      <c r="O36" s="11"/>
      <c r="P36" s="95"/>
      <c r="Q36" s="11"/>
      <c r="R36" s="95"/>
      <c r="S36" s="95"/>
      <c r="T36" s="95"/>
      <c r="U36" s="95"/>
    </row>
    <row r="37" spans="5:21" s="4" customFormat="1" ht="17.25" customHeight="1" x14ac:dyDescent="0.35">
      <c r="E37" s="11"/>
      <c r="F37" s="11"/>
      <c r="G37" s="11"/>
      <c r="H37" s="11"/>
      <c r="I37" s="11"/>
      <c r="J37" s="11"/>
      <c r="K37" s="11"/>
      <c r="L37" s="11"/>
      <c r="M37" s="95"/>
      <c r="N37" s="95"/>
      <c r="O37" s="11"/>
      <c r="P37" s="95"/>
      <c r="Q37" s="11"/>
      <c r="R37" s="95"/>
      <c r="S37" s="95"/>
      <c r="T37" s="95"/>
      <c r="U37" s="95"/>
    </row>
    <row r="38" spans="5:21" s="4" customFormat="1" ht="17.25" customHeight="1" x14ac:dyDescent="0.35">
      <c r="E38" s="11"/>
      <c r="F38" s="11"/>
      <c r="G38" s="11"/>
      <c r="H38" s="11"/>
      <c r="I38" s="11"/>
      <c r="J38" s="11"/>
      <c r="K38" s="11"/>
      <c r="L38" s="11"/>
      <c r="M38" s="95"/>
      <c r="N38" s="95"/>
      <c r="O38" s="11"/>
      <c r="P38" s="95"/>
      <c r="Q38" s="11"/>
      <c r="R38" s="95"/>
      <c r="S38" s="95"/>
      <c r="T38" s="95"/>
      <c r="U38" s="95"/>
    </row>
    <row r="39" spans="5:21" s="4" customFormat="1" ht="17.25" customHeight="1" x14ac:dyDescent="0.35">
      <c r="E39" s="11"/>
      <c r="F39" s="11"/>
      <c r="G39" s="11"/>
      <c r="H39" s="11"/>
      <c r="I39" s="11"/>
      <c r="J39" s="11"/>
      <c r="K39" s="11"/>
      <c r="L39" s="11"/>
      <c r="M39" s="95"/>
      <c r="N39" s="95"/>
      <c r="O39" s="11"/>
      <c r="P39" s="95"/>
      <c r="Q39" s="11"/>
      <c r="R39" s="95"/>
      <c r="S39" s="95"/>
      <c r="T39" s="95"/>
      <c r="U39" s="95"/>
    </row>
    <row r="40" spans="5:21" s="4" customFormat="1" ht="17.25" customHeight="1" x14ac:dyDescent="0.35">
      <c r="E40" s="11"/>
      <c r="F40" s="11"/>
      <c r="G40" s="11"/>
      <c r="H40" s="11"/>
      <c r="I40" s="11"/>
      <c r="J40" s="11"/>
      <c r="K40" s="11"/>
      <c r="L40" s="11"/>
      <c r="M40" s="95"/>
      <c r="N40" s="95"/>
      <c r="O40" s="11"/>
      <c r="P40" s="95"/>
      <c r="Q40" s="11"/>
      <c r="R40" s="95"/>
      <c r="S40" s="95"/>
      <c r="T40" s="95"/>
      <c r="U40" s="95"/>
    </row>
    <row r="41" spans="5:21" s="4" customFormat="1" ht="17.25" customHeight="1" x14ac:dyDescent="0.35">
      <c r="E41" s="11"/>
      <c r="F41" s="11"/>
      <c r="G41" s="11"/>
      <c r="H41" s="11"/>
      <c r="I41" s="11"/>
      <c r="J41" s="11"/>
      <c r="K41" s="11"/>
      <c r="L41" s="11"/>
      <c r="M41" s="95"/>
      <c r="N41" s="95"/>
      <c r="O41" s="11"/>
      <c r="P41" s="95"/>
      <c r="Q41" s="11"/>
      <c r="R41" s="95"/>
      <c r="S41" s="95"/>
      <c r="T41" s="95"/>
      <c r="U41" s="95"/>
    </row>
    <row r="42" spans="5:21" s="4" customFormat="1" ht="17.25" customHeight="1" x14ac:dyDescent="0.35">
      <c r="E42" s="11"/>
      <c r="F42" s="11"/>
      <c r="G42" s="11"/>
      <c r="H42" s="11"/>
      <c r="I42" s="11"/>
      <c r="J42" s="11"/>
      <c r="K42" s="11"/>
      <c r="L42" s="11"/>
      <c r="M42" s="95"/>
      <c r="N42" s="95"/>
      <c r="O42" s="11"/>
      <c r="P42" s="95"/>
      <c r="Q42" s="11"/>
      <c r="R42" s="95"/>
      <c r="S42" s="95"/>
      <c r="T42" s="95"/>
      <c r="U42" s="95"/>
    </row>
    <row r="43" spans="5:21" s="4" customFormat="1" ht="17.25" customHeight="1" x14ac:dyDescent="0.35">
      <c r="E43" s="11"/>
      <c r="F43" s="11"/>
      <c r="G43" s="11"/>
      <c r="H43" s="11"/>
      <c r="I43" s="11"/>
      <c r="J43" s="11"/>
      <c r="K43" s="11"/>
      <c r="L43" s="11"/>
      <c r="M43" s="95"/>
      <c r="N43" s="95"/>
      <c r="O43" s="11"/>
      <c r="P43" s="95"/>
      <c r="Q43" s="11"/>
      <c r="R43" s="95"/>
      <c r="S43" s="95"/>
      <c r="T43" s="95"/>
      <c r="U43" s="95"/>
    </row>
    <row r="44" spans="5:21" s="4" customFormat="1" ht="17.25" customHeight="1" x14ac:dyDescent="0.35">
      <c r="E44" s="11"/>
      <c r="F44" s="11"/>
      <c r="G44" s="11"/>
      <c r="H44" s="11"/>
      <c r="I44" s="11"/>
      <c r="J44" s="11"/>
      <c r="K44" s="11"/>
      <c r="L44" s="11"/>
      <c r="M44" s="95"/>
      <c r="N44" s="95"/>
      <c r="O44" s="11"/>
      <c r="P44" s="95"/>
      <c r="Q44" s="11"/>
      <c r="R44" s="95"/>
      <c r="S44" s="95"/>
      <c r="T44" s="95"/>
      <c r="U44" s="95"/>
    </row>
    <row r="45" spans="5:21" s="4" customFormat="1" ht="17.25" customHeight="1" x14ac:dyDescent="0.35">
      <c r="E45" s="11"/>
      <c r="F45" s="11"/>
      <c r="G45" s="11"/>
      <c r="H45" s="11"/>
      <c r="I45" s="11"/>
      <c r="J45" s="11"/>
      <c r="K45" s="11"/>
      <c r="L45" s="11"/>
      <c r="M45" s="95"/>
      <c r="N45" s="95"/>
      <c r="O45" s="11"/>
      <c r="P45" s="95"/>
      <c r="Q45" s="11"/>
      <c r="R45" s="95"/>
      <c r="S45" s="95"/>
      <c r="T45" s="95"/>
      <c r="U45" s="95"/>
    </row>
    <row r="46" spans="5:21" s="4" customFormat="1" ht="17.25" customHeight="1" x14ac:dyDescent="0.35">
      <c r="E46" s="11"/>
      <c r="F46" s="11"/>
      <c r="G46" s="11"/>
      <c r="H46" s="11"/>
      <c r="I46" s="11"/>
      <c r="J46" s="11"/>
      <c r="K46" s="11"/>
      <c r="L46" s="11"/>
      <c r="M46" s="95"/>
      <c r="N46" s="95"/>
      <c r="O46" s="11"/>
      <c r="P46" s="95"/>
      <c r="Q46" s="11"/>
      <c r="R46" s="95"/>
      <c r="S46" s="95"/>
      <c r="T46" s="95"/>
      <c r="U46" s="95"/>
    </row>
    <row r="47" spans="5:21" s="4" customFormat="1" ht="17.25" customHeight="1" x14ac:dyDescent="0.35">
      <c r="E47" s="11"/>
      <c r="F47" s="11"/>
      <c r="G47" s="11"/>
      <c r="H47" s="11"/>
      <c r="I47" s="11"/>
      <c r="J47" s="11"/>
      <c r="K47" s="11"/>
      <c r="L47" s="11"/>
      <c r="M47" s="95"/>
      <c r="N47" s="95"/>
      <c r="O47" s="11"/>
      <c r="P47" s="95"/>
      <c r="Q47" s="11"/>
      <c r="R47" s="95"/>
      <c r="S47" s="95"/>
      <c r="T47" s="95"/>
      <c r="U47" s="95"/>
    </row>
    <row r="48" spans="5:21" s="4" customFormat="1" ht="17.25" customHeight="1" x14ac:dyDescent="0.35">
      <c r="E48" s="11"/>
      <c r="F48" s="11"/>
      <c r="G48" s="11"/>
      <c r="H48" s="11"/>
      <c r="I48" s="11"/>
      <c r="J48" s="11"/>
      <c r="K48" s="11"/>
      <c r="L48" s="11"/>
      <c r="M48" s="95"/>
      <c r="N48" s="95"/>
      <c r="O48" s="11"/>
      <c r="P48" s="95"/>
      <c r="Q48" s="11"/>
      <c r="R48" s="95"/>
      <c r="S48" s="95"/>
      <c r="T48" s="95"/>
      <c r="U48" s="95"/>
    </row>
    <row r="49" spans="5:21" s="4" customFormat="1" ht="17.25" customHeight="1" x14ac:dyDescent="0.35">
      <c r="E49" s="11"/>
      <c r="F49" s="11"/>
      <c r="G49" s="11"/>
      <c r="H49" s="11"/>
      <c r="I49" s="11"/>
      <c r="J49" s="11"/>
      <c r="K49" s="11"/>
      <c r="L49" s="11"/>
      <c r="M49" s="95"/>
      <c r="N49" s="95"/>
      <c r="O49" s="11"/>
      <c r="P49" s="95"/>
      <c r="Q49" s="11"/>
      <c r="R49" s="95"/>
      <c r="S49" s="95"/>
      <c r="T49" s="95"/>
      <c r="U49" s="95"/>
    </row>
    <row r="50" spans="5:21" s="4" customFormat="1" ht="17.25" customHeight="1" x14ac:dyDescent="0.35">
      <c r="E50" s="11"/>
      <c r="F50" s="11"/>
      <c r="G50" s="11"/>
      <c r="H50" s="11"/>
      <c r="I50" s="11"/>
      <c r="J50" s="11"/>
      <c r="K50" s="11"/>
      <c r="L50" s="11"/>
      <c r="M50" s="95"/>
      <c r="N50" s="95"/>
      <c r="O50" s="11"/>
      <c r="P50" s="95"/>
      <c r="Q50" s="11"/>
      <c r="R50" s="95"/>
      <c r="S50" s="95"/>
      <c r="T50" s="95"/>
      <c r="U50" s="95"/>
    </row>
    <row r="51" spans="5:21" s="4" customFormat="1" ht="17.25" customHeight="1" x14ac:dyDescent="0.35">
      <c r="E51" s="11"/>
      <c r="F51" s="11"/>
      <c r="G51" s="11"/>
      <c r="H51" s="11"/>
      <c r="I51" s="11"/>
      <c r="J51" s="11"/>
      <c r="K51" s="11"/>
      <c r="L51" s="11"/>
      <c r="M51" s="95"/>
      <c r="N51" s="95"/>
      <c r="O51" s="11"/>
      <c r="P51" s="95"/>
      <c r="Q51" s="11"/>
      <c r="R51" s="95"/>
      <c r="S51" s="95"/>
      <c r="T51" s="95"/>
      <c r="U51" s="95"/>
    </row>
    <row r="52" spans="5:21" s="4" customFormat="1" ht="17.25" customHeight="1" x14ac:dyDescent="0.35">
      <c r="E52" s="11"/>
      <c r="F52" s="11"/>
      <c r="G52" s="11"/>
      <c r="H52" s="11"/>
      <c r="I52" s="11"/>
      <c r="J52" s="11"/>
      <c r="K52" s="11"/>
      <c r="L52" s="11"/>
      <c r="M52" s="95"/>
      <c r="N52" s="95"/>
      <c r="O52" s="11"/>
      <c r="P52" s="95"/>
      <c r="Q52" s="11"/>
      <c r="R52" s="95"/>
      <c r="S52" s="95"/>
      <c r="T52" s="95"/>
      <c r="U52" s="95"/>
    </row>
    <row r="53" spans="5:21" s="4" customFormat="1" ht="17.25" customHeight="1" x14ac:dyDescent="0.35">
      <c r="E53" s="11"/>
      <c r="F53" s="11"/>
      <c r="G53" s="11"/>
      <c r="H53" s="11"/>
      <c r="I53" s="11"/>
      <c r="J53" s="11"/>
      <c r="K53" s="11"/>
      <c r="L53" s="11"/>
      <c r="M53" s="95"/>
      <c r="N53" s="95"/>
      <c r="O53" s="11"/>
      <c r="P53" s="95"/>
      <c r="Q53" s="11"/>
      <c r="R53" s="95"/>
      <c r="S53" s="95"/>
      <c r="T53" s="95"/>
      <c r="U53" s="95"/>
    </row>
    <row r="54" spans="5:21" s="4" customFormat="1" ht="17.25" customHeight="1" x14ac:dyDescent="0.35">
      <c r="E54" s="11"/>
      <c r="F54" s="11"/>
      <c r="G54" s="11"/>
      <c r="H54" s="11"/>
      <c r="I54" s="11"/>
      <c r="J54" s="11"/>
      <c r="K54" s="11"/>
      <c r="L54" s="11"/>
      <c r="M54" s="95"/>
      <c r="N54" s="95"/>
      <c r="O54" s="11"/>
      <c r="P54" s="95"/>
      <c r="Q54" s="11"/>
      <c r="R54" s="95"/>
      <c r="S54" s="95"/>
      <c r="T54" s="95"/>
      <c r="U54" s="95"/>
    </row>
    <row r="55" spans="5:21" s="4" customFormat="1" ht="17.25" customHeight="1" x14ac:dyDescent="0.35">
      <c r="E55" s="11"/>
      <c r="F55" s="11"/>
      <c r="G55" s="11"/>
      <c r="H55" s="11"/>
      <c r="I55" s="11"/>
      <c r="J55" s="11"/>
      <c r="K55" s="11"/>
      <c r="L55" s="11"/>
      <c r="M55" s="95"/>
      <c r="N55" s="95"/>
      <c r="O55" s="11"/>
      <c r="P55" s="95"/>
      <c r="Q55" s="11"/>
      <c r="R55" s="95"/>
      <c r="S55" s="95"/>
      <c r="T55" s="95"/>
      <c r="U55" s="95"/>
    </row>
    <row r="56" spans="5:21" s="4" customFormat="1" ht="17.25" customHeight="1" x14ac:dyDescent="0.35">
      <c r="E56" s="11"/>
      <c r="F56" s="11"/>
      <c r="G56" s="11"/>
      <c r="H56" s="11"/>
      <c r="I56" s="11"/>
      <c r="J56" s="11"/>
      <c r="K56" s="11"/>
      <c r="L56" s="11"/>
      <c r="M56" s="95"/>
      <c r="N56" s="95"/>
      <c r="O56" s="11"/>
      <c r="P56" s="95"/>
      <c r="Q56" s="11"/>
      <c r="R56" s="95"/>
      <c r="S56" s="95"/>
      <c r="T56" s="95"/>
      <c r="U56" s="95"/>
    </row>
    <row r="57" spans="5:21" s="4" customFormat="1" ht="17.25" customHeight="1" x14ac:dyDescent="0.35">
      <c r="E57" s="11"/>
      <c r="F57" s="11"/>
      <c r="G57" s="11"/>
      <c r="H57" s="11"/>
      <c r="I57" s="11"/>
      <c r="J57" s="11"/>
      <c r="K57" s="11"/>
      <c r="L57" s="11"/>
      <c r="M57" s="95"/>
      <c r="N57" s="95"/>
      <c r="O57" s="11"/>
      <c r="P57" s="95"/>
      <c r="Q57" s="11"/>
      <c r="R57" s="95"/>
      <c r="S57" s="95"/>
      <c r="T57" s="95"/>
      <c r="U57" s="95"/>
    </row>
    <row r="58" spans="5:21" s="4" customFormat="1" ht="17.25" customHeight="1" x14ac:dyDescent="0.35">
      <c r="E58" s="11"/>
      <c r="F58" s="11"/>
      <c r="G58" s="11"/>
      <c r="H58" s="11"/>
      <c r="I58" s="11"/>
      <c r="J58" s="11"/>
      <c r="K58" s="11"/>
      <c r="L58" s="11"/>
      <c r="M58" s="95"/>
      <c r="N58" s="95"/>
      <c r="O58" s="11"/>
      <c r="P58" s="95"/>
      <c r="Q58" s="11"/>
      <c r="R58" s="95"/>
      <c r="S58" s="95"/>
      <c r="T58" s="95"/>
      <c r="U58" s="95"/>
    </row>
    <row r="59" spans="5:21" s="4" customFormat="1" ht="17.25" customHeight="1" x14ac:dyDescent="0.35">
      <c r="E59" s="11"/>
      <c r="F59" s="11"/>
      <c r="G59" s="11"/>
      <c r="H59" s="11"/>
      <c r="I59" s="11"/>
      <c r="J59" s="11"/>
      <c r="K59" s="11"/>
      <c r="L59" s="11"/>
      <c r="M59" s="95"/>
      <c r="N59" s="95"/>
      <c r="O59" s="11"/>
      <c r="P59" s="95"/>
      <c r="Q59" s="11"/>
      <c r="R59" s="95"/>
      <c r="S59" s="95"/>
      <c r="T59" s="95"/>
      <c r="U59" s="95"/>
    </row>
    <row r="60" spans="5:21" s="4" customFormat="1" ht="17.25" customHeight="1" x14ac:dyDescent="0.35">
      <c r="E60" s="11"/>
      <c r="F60" s="11"/>
      <c r="G60" s="11"/>
      <c r="H60" s="11"/>
      <c r="I60" s="11"/>
      <c r="J60" s="11"/>
      <c r="K60" s="11"/>
      <c r="L60" s="11"/>
      <c r="M60" s="95"/>
      <c r="N60" s="95"/>
      <c r="O60" s="11"/>
      <c r="P60" s="95"/>
      <c r="Q60" s="11"/>
      <c r="R60" s="95"/>
      <c r="S60" s="95"/>
      <c r="T60" s="95"/>
      <c r="U60" s="95"/>
    </row>
    <row r="61" spans="5:21" s="4" customFormat="1" ht="17.25" customHeight="1" x14ac:dyDescent="0.35">
      <c r="E61" s="11"/>
      <c r="F61" s="11"/>
      <c r="G61" s="11"/>
      <c r="H61" s="11"/>
      <c r="I61" s="11"/>
      <c r="J61" s="11"/>
      <c r="K61" s="11"/>
      <c r="L61" s="11"/>
      <c r="M61" s="95"/>
      <c r="N61" s="95"/>
      <c r="O61" s="11"/>
      <c r="P61" s="95"/>
      <c r="Q61" s="11"/>
      <c r="R61" s="95"/>
      <c r="S61" s="95"/>
      <c r="T61" s="95"/>
      <c r="U61" s="95"/>
    </row>
    <row r="62" spans="5:21" s="4" customFormat="1" ht="17.25" customHeight="1" x14ac:dyDescent="0.35">
      <c r="E62" s="11"/>
      <c r="F62" s="11"/>
      <c r="G62" s="11"/>
      <c r="H62" s="11"/>
      <c r="I62" s="11"/>
      <c r="J62" s="11"/>
      <c r="K62" s="11"/>
      <c r="L62" s="11"/>
      <c r="M62" s="95"/>
      <c r="N62" s="95"/>
      <c r="O62" s="11"/>
      <c r="P62" s="95"/>
      <c r="Q62" s="11"/>
      <c r="R62" s="95"/>
      <c r="S62" s="95"/>
      <c r="T62" s="95"/>
      <c r="U62" s="95"/>
    </row>
    <row r="63" spans="5:21" s="4" customFormat="1" ht="17.25" customHeight="1" x14ac:dyDescent="0.35">
      <c r="E63" s="11"/>
      <c r="F63" s="11"/>
      <c r="G63" s="11"/>
      <c r="H63" s="11"/>
      <c r="I63" s="11"/>
      <c r="J63" s="11"/>
      <c r="K63" s="11"/>
      <c r="L63" s="11"/>
      <c r="M63" s="95"/>
      <c r="N63" s="95"/>
      <c r="O63" s="11"/>
      <c r="P63" s="95"/>
      <c r="Q63" s="11"/>
      <c r="R63" s="95"/>
      <c r="S63" s="95"/>
      <c r="T63" s="95"/>
      <c r="U63" s="95"/>
    </row>
    <row r="64" spans="5:21" s="4" customFormat="1" ht="17.25" customHeight="1" x14ac:dyDescent="0.35">
      <c r="E64" s="11"/>
      <c r="F64" s="11"/>
      <c r="G64" s="11"/>
      <c r="H64" s="11"/>
      <c r="I64" s="11"/>
      <c r="J64" s="11"/>
      <c r="K64" s="11"/>
      <c r="L64" s="11"/>
      <c r="M64" s="95"/>
      <c r="N64" s="95"/>
      <c r="O64" s="11"/>
      <c r="P64" s="95"/>
      <c r="Q64" s="11"/>
      <c r="R64" s="95"/>
      <c r="S64" s="95"/>
      <c r="T64" s="95"/>
      <c r="U64" s="95"/>
    </row>
    <row r="65" spans="5:21" s="4" customFormat="1" ht="17.25" customHeight="1" x14ac:dyDescent="0.35">
      <c r="E65" s="11"/>
      <c r="F65" s="11"/>
      <c r="G65" s="11"/>
      <c r="H65" s="11"/>
      <c r="I65" s="11"/>
      <c r="J65" s="11"/>
      <c r="K65" s="11"/>
      <c r="L65" s="11"/>
      <c r="M65" s="95"/>
      <c r="N65" s="95"/>
      <c r="O65" s="11"/>
      <c r="P65" s="95"/>
      <c r="Q65" s="11"/>
      <c r="R65" s="95"/>
      <c r="S65" s="95"/>
      <c r="T65" s="95"/>
      <c r="U65" s="95"/>
    </row>
    <row r="66" spans="5:21" s="4" customFormat="1" ht="17.25" customHeight="1" x14ac:dyDescent="0.35">
      <c r="E66" s="11"/>
      <c r="F66" s="11"/>
      <c r="G66" s="11"/>
      <c r="H66" s="11"/>
      <c r="I66" s="11"/>
      <c r="J66" s="11"/>
      <c r="K66" s="11"/>
      <c r="L66" s="11"/>
      <c r="M66" s="95"/>
      <c r="N66" s="95"/>
      <c r="O66" s="11"/>
      <c r="P66" s="95"/>
      <c r="Q66" s="11"/>
      <c r="R66" s="95"/>
      <c r="S66" s="95"/>
      <c r="T66" s="95"/>
      <c r="U66" s="95"/>
    </row>
    <row r="67" spans="5:21" s="4" customFormat="1" ht="17.25" customHeight="1" x14ac:dyDescent="0.35">
      <c r="E67" s="11"/>
      <c r="F67" s="11"/>
      <c r="G67" s="11"/>
      <c r="H67" s="11"/>
      <c r="I67" s="11"/>
      <c r="J67" s="11"/>
      <c r="K67" s="11"/>
      <c r="L67" s="11"/>
      <c r="M67" s="95"/>
      <c r="N67" s="95"/>
      <c r="O67" s="11"/>
      <c r="P67" s="95"/>
      <c r="Q67" s="11"/>
      <c r="R67" s="95"/>
      <c r="S67" s="95"/>
      <c r="T67" s="95"/>
      <c r="U67" s="95"/>
    </row>
    <row r="68" spans="5:21" s="4" customFormat="1" ht="17.25" customHeight="1" x14ac:dyDescent="0.35">
      <c r="E68" s="11"/>
      <c r="F68" s="11"/>
      <c r="G68" s="11"/>
      <c r="H68" s="11"/>
      <c r="I68" s="11"/>
      <c r="J68" s="11"/>
      <c r="K68" s="11"/>
      <c r="L68" s="11"/>
      <c r="M68" s="95"/>
      <c r="N68" s="95"/>
      <c r="O68" s="11"/>
      <c r="P68" s="95"/>
      <c r="Q68" s="11"/>
      <c r="R68" s="95"/>
      <c r="S68" s="95"/>
      <c r="T68" s="95"/>
      <c r="U68" s="95"/>
    </row>
    <row r="69" spans="5:21" s="4" customFormat="1" ht="17.25" customHeight="1" x14ac:dyDescent="0.35">
      <c r="E69" s="11"/>
      <c r="F69" s="11"/>
      <c r="G69" s="11"/>
      <c r="H69" s="11"/>
      <c r="I69" s="11"/>
      <c r="J69" s="11"/>
      <c r="K69" s="11"/>
      <c r="L69" s="11"/>
      <c r="M69" s="95"/>
      <c r="N69" s="95"/>
      <c r="O69" s="11"/>
      <c r="P69" s="95"/>
      <c r="Q69" s="11"/>
      <c r="R69" s="95"/>
      <c r="S69" s="95"/>
      <c r="T69" s="95"/>
      <c r="U69" s="95"/>
    </row>
    <row r="70" spans="5:21" s="4" customFormat="1" ht="17.25" customHeight="1" x14ac:dyDescent="0.35">
      <c r="E70" s="11"/>
      <c r="F70" s="11"/>
      <c r="G70" s="11"/>
      <c r="H70" s="11"/>
      <c r="I70" s="11"/>
      <c r="J70" s="11"/>
      <c r="K70" s="11"/>
      <c r="L70" s="11"/>
      <c r="M70" s="95"/>
      <c r="N70" s="95"/>
      <c r="O70" s="11"/>
      <c r="P70" s="95"/>
      <c r="Q70" s="11"/>
      <c r="R70" s="95"/>
      <c r="S70" s="95"/>
      <c r="T70" s="95"/>
      <c r="U70" s="95"/>
    </row>
    <row r="71" spans="5:21" s="4" customFormat="1" ht="17.25" customHeight="1" x14ac:dyDescent="0.35">
      <c r="E71" s="11"/>
      <c r="F71" s="11"/>
      <c r="G71" s="11"/>
      <c r="H71" s="11"/>
      <c r="I71" s="11"/>
      <c r="J71" s="11"/>
      <c r="K71" s="11"/>
      <c r="L71" s="11"/>
      <c r="M71" s="95"/>
      <c r="N71" s="95"/>
      <c r="O71" s="11"/>
      <c r="P71" s="95"/>
      <c r="Q71" s="11"/>
      <c r="R71" s="95"/>
      <c r="S71" s="95"/>
      <c r="T71" s="95"/>
      <c r="U71" s="95"/>
    </row>
    <row r="72" spans="5:21" s="4" customFormat="1" ht="17.25" customHeight="1" x14ac:dyDescent="0.35">
      <c r="E72" s="11"/>
      <c r="F72" s="11"/>
      <c r="G72" s="11"/>
      <c r="H72" s="11"/>
      <c r="I72" s="11"/>
      <c r="J72" s="11"/>
      <c r="K72" s="11"/>
      <c r="L72" s="11"/>
      <c r="M72" s="95"/>
      <c r="N72" s="95"/>
      <c r="O72" s="11"/>
      <c r="P72" s="95"/>
      <c r="Q72" s="11"/>
      <c r="R72" s="95"/>
      <c r="S72" s="95"/>
      <c r="T72" s="95"/>
      <c r="U72" s="95"/>
    </row>
    <row r="73" spans="5:21" s="4" customFormat="1" ht="17.25" customHeight="1" x14ac:dyDescent="0.35">
      <c r="E73" s="11"/>
      <c r="F73" s="11"/>
      <c r="G73" s="11"/>
      <c r="H73" s="11"/>
      <c r="I73" s="11"/>
      <c r="J73" s="11"/>
      <c r="K73" s="11"/>
      <c r="L73" s="11"/>
      <c r="M73" s="95"/>
      <c r="N73" s="95"/>
      <c r="O73" s="11"/>
      <c r="P73" s="95"/>
      <c r="Q73" s="11"/>
      <c r="R73" s="95"/>
      <c r="S73" s="95"/>
      <c r="T73" s="95"/>
      <c r="U73" s="95"/>
    </row>
    <row r="74" spans="5:21" s="4" customFormat="1" ht="17.25" customHeight="1" x14ac:dyDescent="0.35">
      <c r="E74" s="11"/>
      <c r="F74" s="11"/>
      <c r="G74" s="11"/>
      <c r="H74" s="11"/>
      <c r="I74" s="11"/>
      <c r="J74" s="11"/>
      <c r="K74" s="11"/>
      <c r="L74" s="11"/>
      <c r="M74" s="95"/>
      <c r="N74" s="95"/>
      <c r="O74" s="11"/>
      <c r="P74" s="95"/>
      <c r="Q74" s="11"/>
      <c r="R74" s="95"/>
      <c r="S74" s="95"/>
      <c r="T74" s="95"/>
      <c r="U74" s="95"/>
    </row>
    <row r="75" spans="5:21" s="4" customFormat="1" ht="17.25" customHeight="1" x14ac:dyDescent="0.35">
      <c r="E75" s="11"/>
      <c r="F75" s="11"/>
      <c r="G75" s="11"/>
      <c r="H75" s="11"/>
      <c r="I75" s="11"/>
      <c r="J75" s="11"/>
      <c r="K75" s="11"/>
      <c r="L75" s="11"/>
      <c r="M75" s="95"/>
      <c r="N75" s="95"/>
      <c r="O75" s="11"/>
      <c r="P75" s="95"/>
      <c r="Q75" s="11"/>
      <c r="R75" s="95"/>
      <c r="S75" s="95"/>
      <c r="T75" s="95"/>
      <c r="U75" s="95"/>
    </row>
    <row r="76" spans="5:21" s="4" customFormat="1" ht="17.25" customHeight="1" x14ac:dyDescent="0.35">
      <c r="E76" s="11"/>
      <c r="F76" s="11"/>
      <c r="G76" s="11"/>
      <c r="H76" s="11"/>
      <c r="I76" s="11"/>
      <c r="J76" s="11"/>
      <c r="K76" s="11"/>
      <c r="L76" s="11"/>
      <c r="M76" s="95"/>
      <c r="N76" s="95"/>
      <c r="O76" s="11"/>
      <c r="P76" s="95"/>
      <c r="Q76" s="11"/>
      <c r="R76" s="95"/>
      <c r="S76" s="95"/>
      <c r="T76" s="95"/>
      <c r="U76" s="95"/>
    </row>
    <row r="77" spans="5:21" s="4" customFormat="1" ht="17.25" customHeight="1" x14ac:dyDescent="0.35">
      <c r="E77" s="11"/>
      <c r="F77" s="11"/>
      <c r="G77" s="11"/>
      <c r="H77" s="11"/>
      <c r="I77" s="11"/>
      <c r="J77" s="11"/>
      <c r="K77" s="11"/>
      <c r="L77" s="11"/>
      <c r="M77" s="95"/>
      <c r="N77" s="95"/>
      <c r="O77" s="11"/>
      <c r="P77" s="95"/>
      <c r="Q77" s="11"/>
      <c r="R77" s="95"/>
      <c r="S77" s="95"/>
      <c r="T77" s="95"/>
      <c r="U77" s="95"/>
    </row>
    <row r="78" spans="5:21" s="4" customFormat="1" ht="17.25" customHeight="1" x14ac:dyDescent="0.35">
      <c r="E78" s="11"/>
      <c r="F78" s="11"/>
      <c r="G78" s="11"/>
      <c r="H78" s="11"/>
      <c r="I78" s="11"/>
      <c r="J78" s="11"/>
      <c r="K78" s="11"/>
      <c r="L78" s="11"/>
      <c r="M78" s="95"/>
      <c r="N78" s="95"/>
      <c r="O78" s="11"/>
      <c r="P78" s="95"/>
      <c r="Q78" s="11"/>
      <c r="R78" s="95"/>
      <c r="S78" s="95"/>
      <c r="T78" s="95"/>
      <c r="U78" s="95"/>
    </row>
    <row r="79" spans="5:21" s="4" customFormat="1" ht="17.25" customHeight="1" x14ac:dyDescent="0.35">
      <c r="E79" s="11"/>
      <c r="F79" s="11"/>
      <c r="G79" s="11"/>
      <c r="H79" s="11"/>
      <c r="I79" s="11"/>
      <c r="J79" s="11"/>
      <c r="K79" s="11"/>
      <c r="L79" s="11"/>
      <c r="M79" s="95"/>
      <c r="N79" s="95"/>
      <c r="O79" s="11"/>
      <c r="P79" s="95"/>
      <c r="Q79" s="11"/>
      <c r="R79" s="95"/>
      <c r="S79" s="95"/>
      <c r="T79" s="95"/>
      <c r="U79" s="95"/>
    </row>
    <row r="80" spans="5:21" s="4" customFormat="1" ht="17.25" customHeight="1" x14ac:dyDescent="0.35">
      <c r="E80" s="11"/>
      <c r="F80" s="11"/>
      <c r="G80" s="11"/>
      <c r="H80" s="11"/>
      <c r="I80" s="11"/>
      <c r="J80" s="11"/>
      <c r="K80" s="11"/>
      <c r="L80" s="11"/>
      <c r="M80" s="95"/>
      <c r="N80" s="95"/>
      <c r="O80" s="11"/>
      <c r="P80" s="95"/>
      <c r="Q80" s="11"/>
      <c r="R80" s="95"/>
      <c r="S80" s="95"/>
      <c r="T80" s="95"/>
      <c r="U80" s="95"/>
    </row>
    <row r="81" spans="5:21" s="4" customFormat="1" ht="17.25" customHeight="1" x14ac:dyDescent="0.35">
      <c r="E81" s="11"/>
      <c r="F81" s="11"/>
      <c r="G81" s="11"/>
      <c r="H81" s="11"/>
      <c r="I81" s="11"/>
      <c r="J81" s="11"/>
      <c r="K81" s="11"/>
      <c r="L81" s="11"/>
      <c r="M81" s="95"/>
      <c r="N81" s="95"/>
      <c r="O81" s="11"/>
      <c r="P81" s="95"/>
      <c r="Q81" s="11"/>
      <c r="R81" s="95"/>
      <c r="S81" s="95"/>
      <c r="T81" s="95"/>
      <c r="U81" s="95"/>
    </row>
    <row r="82" spans="5:21" s="4" customFormat="1" ht="17.25" customHeight="1" x14ac:dyDescent="0.35">
      <c r="E82" s="11"/>
      <c r="F82" s="11"/>
      <c r="G82" s="11"/>
      <c r="H82" s="11"/>
      <c r="I82" s="11"/>
      <c r="J82" s="11"/>
      <c r="K82" s="11"/>
      <c r="L82" s="11"/>
      <c r="M82" s="95"/>
      <c r="N82" s="95"/>
      <c r="O82" s="11"/>
      <c r="P82" s="95"/>
      <c r="Q82" s="11"/>
      <c r="R82" s="95"/>
      <c r="S82" s="95"/>
      <c r="T82" s="95"/>
      <c r="U82" s="95"/>
    </row>
    <row r="83" spans="5:21" s="4" customFormat="1" ht="17.25" customHeight="1" x14ac:dyDescent="0.35">
      <c r="E83" s="11"/>
      <c r="F83" s="11"/>
      <c r="G83" s="11"/>
      <c r="H83" s="11"/>
      <c r="I83" s="11"/>
      <c r="J83" s="11"/>
      <c r="K83" s="11"/>
      <c r="L83" s="11"/>
      <c r="M83" s="95"/>
      <c r="N83" s="95"/>
      <c r="O83" s="11"/>
      <c r="P83" s="95"/>
      <c r="Q83" s="11"/>
      <c r="R83" s="95"/>
      <c r="S83" s="95"/>
      <c r="T83" s="95"/>
      <c r="U83" s="95"/>
    </row>
    <row r="84" spans="5:21" s="4" customFormat="1" ht="17.25" customHeight="1" x14ac:dyDescent="0.35">
      <c r="E84" s="11"/>
      <c r="F84" s="11"/>
      <c r="G84" s="11"/>
      <c r="H84" s="11"/>
      <c r="I84" s="11"/>
      <c r="J84" s="11"/>
      <c r="K84" s="11"/>
      <c r="L84" s="11"/>
      <c r="M84" s="95"/>
      <c r="N84" s="95"/>
      <c r="O84" s="11"/>
      <c r="P84" s="95"/>
      <c r="Q84" s="11"/>
      <c r="R84" s="95"/>
      <c r="S84" s="95"/>
      <c r="T84" s="95"/>
      <c r="U84" s="95"/>
    </row>
    <row r="85" spans="5:21" s="4" customFormat="1" ht="17.25" customHeight="1" x14ac:dyDescent="0.35">
      <c r="E85" s="11"/>
      <c r="F85" s="11"/>
      <c r="G85" s="11"/>
      <c r="H85" s="11"/>
      <c r="I85" s="11"/>
      <c r="J85" s="11"/>
      <c r="K85" s="11"/>
      <c r="L85" s="11"/>
      <c r="M85" s="95"/>
      <c r="N85" s="95"/>
      <c r="O85" s="11"/>
      <c r="P85" s="95"/>
      <c r="Q85" s="11"/>
      <c r="R85" s="95"/>
      <c r="S85" s="95"/>
      <c r="T85" s="95"/>
      <c r="U85" s="95"/>
    </row>
    <row r="86" spans="5:21" s="4" customFormat="1" ht="17.25" customHeight="1" x14ac:dyDescent="0.35">
      <c r="E86" s="11"/>
      <c r="F86" s="11"/>
      <c r="G86" s="11"/>
      <c r="H86" s="11"/>
      <c r="I86" s="11"/>
      <c r="J86" s="11"/>
      <c r="K86" s="11"/>
      <c r="L86" s="11"/>
      <c r="M86" s="95"/>
      <c r="N86" s="95"/>
      <c r="O86" s="11"/>
      <c r="P86" s="95"/>
      <c r="Q86" s="11"/>
      <c r="R86" s="95"/>
      <c r="S86" s="95"/>
      <c r="T86" s="95"/>
      <c r="U86" s="95"/>
    </row>
    <row r="87" spans="5:21" s="4" customFormat="1" ht="17.25" customHeight="1" x14ac:dyDescent="0.35">
      <c r="E87" s="11"/>
      <c r="F87" s="11"/>
      <c r="G87" s="11"/>
      <c r="H87" s="11"/>
      <c r="I87" s="11"/>
      <c r="J87" s="11"/>
      <c r="K87" s="11"/>
      <c r="L87" s="11"/>
      <c r="M87" s="95"/>
      <c r="N87" s="95"/>
      <c r="O87" s="11"/>
      <c r="P87" s="95"/>
      <c r="Q87" s="11"/>
      <c r="R87" s="95"/>
      <c r="S87" s="95"/>
      <c r="T87" s="95"/>
      <c r="U87" s="95"/>
    </row>
    <row r="88" spans="5:21" s="4" customFormat="1" ht="17.25" customHeight="1" x14ac:dyDescent="0.35">
      <c r="E88" s="11"/>
      <c r="F88" s="11"/>
      <c r="G88" s="11"/>
      <c r="H88" s="11"/>
      <c r="I88" s="11"/>
      <c r="J88" s="11"/>
      <c r="K88" s="11"/>
      <c r="L88" s="11"/>
      <c r="M88" s="95"/>
      <c r="N88" s="95"/>
      <c r="O88" s="11"/>
      <c r="P88" s="95"/>
      <c r="Q88" s="11"/>
      <c r="R88" s="95"/>
      <c r="S88" s="95"/>
      <c r="T88" s="95"/>
      <c r="U88" s="95"/>
    </row>
    <row r="89" spans="5:21" s="4" customFormat="1" ht="17.25" customHeight="1" x14ac:dyDescent="0.35">
      <c r="E89" s="11"/>
      <c r="F89" s="11"/>
      <c r="G89" s="11"/>
      <c r="H89" s="11"/>
      <c r="I89" s="11"/>
      <c r="J89" s="11"/>
      <c r="K89" s="11"/>
      <c r="L89" s="11"/>
      <c r="M89" s="95"/>
      <c r="N89" s="95"/>
      <c r="O89" s="11"/>
      <c r="P89" s="95"/>
      <c r="Q89" s="11"/>
      <c r="R89" s="95"/>
      <c r="S89" s="95"/>
      <c r="T89" s="95"/>
      <c r="U89" s="95"/>
    </row>
    <row r="90" spans="5:21" s="4" customFormat="1" ht="17.25" customHeight="1" x14ac:dyDescent="0.35">
      <c r="E90" s="11"/>
      <c r="F90" s="11"/>
      <c r="G90" s="11"/>
      <c r="H90" s="11"/>
      <c r="I90" s="11"/>
      <c r="J90" s="11"/>
      <c r="K90" s="11"/>
      <c r="L90" s="11"/>
      <c r="M90" s="95"/>
      <c r="N90" s="95"/>
      <c r="O90" s="11"/>
      <c r="P90" s="95"/>
      <c r="Q90" s="11"/>
      <c r="R90" s="95"/>
      <c r="S90" s="95"/>
      <c r="T90" s="95"/>
      <c r="U90" s="95"/>
    </row>
    <row r="91" spans="5:21" s="4" customFormat="1" ht="17.25" customHeight="1" x14ac:dyDescent="0.35">
      <c r="E91" s="11"/>
      <c r="F91" s="11"/>
      <c r="G91" s="11"/>
      <c r="H91" s="11"/>
      <c r="I91" s="11"/>
      <c r="J91" s="11"/>
      <c r="K91" s="11"/>
      <c r="L91" s="11"/>
      <c r="M91" s="95"/>
      <c r="N91" s="95"/>
      <c r="O91" s="11"/>
      <c r="P91" s="95"/>
      <c r="Q91" s="11"/>
      <c r="R91" s="95"/>
      <c r="S91" s="95"/>
      <c r="T91" s="95"/>
      <c r="U91" s="95"/>
    </row>
    <row r="92" spans="5:21" s="4" customFormat="1" ht="17.25" customHeight="1" x14ac:dyDescent="0.35">
      <c r="E92" s="11"/>
      <c r="F92" s="11"/>
      <c r="G92" s="11"/>
      <c r="H92" s="11"/>
      <c r="I92" s="11"/>
      <c r="J92" s="11"/>
      <c r="K92" s="11"/>
      <c r="L92" s="11"/>
      <c r="M92" s="95"/>
      <c r="N92" s="95"/>
      <c r="O92" s="11"/>
      <c r="P92" s="95"/>
      <c r="Q92" s="11"/>
      <c r="R92" s="95"/>
      <c r="S92" s="95"/>
      <c r="T92" s="95"/>
      <c r="U92" s="95"/>
    </row>
    <row r="93" spans="5:21" s="4" customFormat="1" ht="17.25" customHeight="1" x14ac:dyDescent="0.35">
      <c r="E93" s="11"/>
      <c r="F93" s="11"/>
      <c r="G93" s="11"/>
      <c r="H93" s="11"/>
      <c r="I93" s="11"/>
      <c r="J93" s="11"/>
      <c r="K93" s="11"/>
      <c r="L93" s="11"/>
      <c r="M93" s="95"/>
      <c r="N93" s="95"/>
      <c r="O93" s="11"/>
      <c r="P93" s="95"/>
      <c r="Q93" s="11"/>
      <c r="R93" s="95"/>
      <c r="S93" s="95"/>
      <c r="T93" s="95"/>
      <c r="U93" s="95"/>
    </row>
    <row r="94" spans="5:21" s="4" customFormat="1" ht="17.25" customHeight="1" x14ac:dyDescent="0.35">
      <c r="E94" s="11"/>
      <c r="F94" s="11"/>
      <c r="G94" s="11"/>
      <c r="H94" s="11"/>
      <c r="I94" s="11"/>
      <c r="J94" s="11"/>
      <c r="K94" s="11"/>
      <c r="L94" s="11"/>
      <c r="M94" s="95"/>
      <c r="N94" s="95"/>
      <c r="O94" s="11"/>
      <c r="P94" s="95"/>
      <c r="Q94" s="11"/>
      <c r="R94" s="95"/>
      <c r="S94" s="95"/>
      <c r="T94" s="95"/>
      <c r="U94" s="95"/>
    </row>
    <row r="95" spans="5:21" s="4" customFormat="1" ht="17.25" customHeight="1" x14ac:dyDescent="0.35">
      <c r="E95" s="11"/>
      <c r="F95" s="11"/>
      <c r="G95" s="11"/>
      <c r="H95" s="11"/>
      <c r="I95" s="11"/>
      <c r="J95" s="11"/>
      <c r="K95" s="11"/>
      <c r="L95" s="11"/>
      <c r="M95" s="95"/>
      <c r="N95" s="95"/>
      <c r="O95" s="11"/>
      <c r="P95" s="95"/>
      <c r="Q95" s="11"/>
      <c r="R95" s="95"/>
      <c r="S95" s="95"/>
      <c r="T95" s="95"/>
      <c r="U95" s="95"/>
    </row>
    <row r="96" spans="5:21" s="4" customFormat="1" ht="17.25" customHeight="1" x14ac:dyDescent="0.35">
      <c r="E96" s="11"/>
      <c r="F96" s="11"/>
      <c r="G96" s="11"/>
      <c r="H96" s="11"/>
      <c r="I96" s="11"/>
      <c r="J96" s="11"/>
      <c r="K96" s="11"/>
      <c r="L96" s="11"/>
      <c r="M96" s="95"/>
      <c r="N96" s="95"/>
      <c r="O96" s="11"/>
      <c r="P96" s="95"/>
      <c r="Q96" s="11"/>
      <c r="R96" s="95"/>
      <c r="S96" s="95"/>
      <c r="T96" s="95"/>
      <c r="U96" s="95"/>
    </row>
    <row r="97" spans="5:21" s="4" customFormat="1" ht="17.25" customHeight="1" x14ac:dyDescent="0.35">
      <c r="E97" s="11"/>
      <c r="F97" s="11"/>
      <c r="G97" s="11"/>
      <c r="H97" s="11"/>
      <c r="I97" s="11"/>
      <c r="J97" s="11"/>
      <c r="K97" s="11"/>
      <c r="L97" s="11"/>
      <c r="M97" s="95"/>
      <c r="N97" s="95"/>
      <c r="O97" s="11"/>
      <c r="P97" s="95"/>
      <c r="Q97" s="11"/>
      <c r="R97" s="95"/>
      <c r="S97" s="95"/>
      <c r="T97" s="95"/>
      <c r="U97" s="95"/>
    </row>
    <row r="98" spans="5:21" s="4" customFormat="1" ht="17.25" customHeight="1" x14ac:dyDescent="0.35">
      <c r="E98" s="11"/>
      <c r="F98" s="11"/>
      <c r="G98" s="11"/>
      <c r="H98" s="11"/>
      <c r="I98" s="11"/>
      <c r="J98" s="11"/>
      <c r="K98" s="11"/>
      <c r="L98" s="11"/>
      <c r="M98" s="95"/>
      <c r="N98" s="95"/>
      <c r="O98" s="11"/>
      <c r="P98" s="95"/>
      <c r="Q98" s="11"/>
      <c r="R98" s="95"/>
      <c r="S98" s="95"/>
      <c r="T98" s="95"/>
      <c r="U98" s="95"/>
    </row>
    <row r="99" spans="5:21" s="4" customFormat="1" ht="17.25" customHeight="1" x14ac:dyDescent="0.35">
      <c r="E99" s="11"/>
      <c r="F99" s="11"/>
      <c r="G99" s="11"/>
      <c r="H99" s="11"/>
      <c r="I99" s="11"/>
      <c r="J99" s="11"/>
      <c r="K99" s="11"/>
      <c r="L99" s="11"/>
      <c r="M99" s="95"/>
      <c r="N99" s="95"/>
      <c r="O99" s="11"/>
      <c r="P99" s="95"/>
      <c r="Q99" s="11"/>
      <c r="R99" s="95"/>
      <c r="S99" s="95"/>
      <c r="T99" s="95"/>
      <c r="U99" s="95"/>
    </row>
    <row r="100" spans="5:21" s="4" customFormat="1" ht="17.25" customHeight="1" x14ac:dyDescent="0.35">
      <c r="E100" s="11"/>
      <c r="F100" s="11"/>
      <c r="G100" s="11"/>
      <c r="H100" s="11"/>
      <c r="I100" s="11"/>
      <c r="J100" s="11"/>
      <c r="K100" s="11"/>
      <c r="L100" s="11"/>
      <c r="M100" s="95"/>
      <c r="N100" s="95"/>
      <c r="O100" s="11"/>
      <c r="P100" s="95"/>
      <c r="Q100" s="11"/>
      <c r="R100" s="95"/>
      <c r="S100" s="95"/>
      <c r="T100" s="95"/>
      <c r="U100" s="95"/>
    </row>
    <row r="101" spans="5:21" s="4" customFormat="1" ht="17.25" customHeight="1" x14ac:dyDescent="0.35">
      <c r="E101" s="11"/>
      <c r="F101" s="11"/>
      <c r="G101" s="11"/>
      <c r="H101" s="11"/>
      <c r="I101" s="11"/>
      <c r="J101" s="11"/>
      <c r="K101" s="11"/>
      <c r="L101" s="11"/>
      <c r="M101" s="95"/>
      <c r="N101" s="95"/>
      <c r="O101" s="11"/>
      <c r="P101" s="95"/>
      <c r="Q101" s="11"/>
      <c r="R101" s="95"/>
      <c r="S101" s="95"/>
      <c r="T101" s="95"/>
      <c r="U101" s="95"/>
    </row>
    <row r="102" spans="5:21" s="4" customFormat="1" ht="17.25" customHeight="1" x14ac:dyDescent="0.35">
      <c r="E102" s="11"/>
      <c r="F102" s="11"/>
      <c r="G102" s="11"/>
      <c r="H102" s="11"/>
      <c r="I102" s="11"/>
      <c r="J102" s="11"/>
      <c r="K102" s="11"/>
      <c r="L102" s="11"/>
      <c r="M102" s="95"/>
      <c r="N102" s="95"/>
      <c r="O102" s="11"/>
      <c r="P102" s="95"/>
      <c r="Q102" s="11"/>
      <c r="R102" s="95"/>
      <c r="S102" s="95"/>
      <c r="T102" s="95"/>
      <c r="U102" s="95"/>
    </row>
    <row r="103" spans="5:21" s="4" customFormat="1" ht="17.25" customHeight="1" x14ac:dyDescent="0.35">
      <c r="E103" s="11"/>
      <c r="F103" s="11"/>
      <c r="G103" s="11"/>
      <c r="H103" s="11"/>
      <c r="I103" s="11"/>
      <c r="J103" s="11"/>
      <c r="K103" s="11"/>
      <c r="L103" s="11"/>
      <c r="M103" s="95"/>
      <c r="N103" s="95"/>
      <c r="O103" s="11"/>
      <c r="P103" s="95"/>
      <c r="Q103" s="11"/>
      <c r="R103" s="95"/>
      <c r="S103" s="95"/>
      <c r="T103" s="95"/>
      <c r="U103" s="95"/>
    </row>
    <row r="104" spans="5:21" s="4" customFormat="1" ht="17.25" customHeight="1" x14ac:dyDescent="0.35">
      <c r="E104" s="11"/>
      <c r="F104" s="11"/>
      <c r="G104" s="11"/>
      <c r="H104" s="11"/>
      <c r="I104" s="11"/>
      <c r="J104" s="11"/>
      <c r="K104" s="11"/>
      <c r="L104" s="11"/>
      <c r="M104" s="95"/>
      <c r="N104" s="95"/>
      <c r="O104" s="11"/>
      <c r="P104" s="95"/>
      <c r="Q104" s="11"/>
      <c r="R104" s="95"/>
      <c r="S104" s="95"/>
      <c r="T104" s="95"/>
      <c r="U104" s="95"/>
    </row>
    <row r="105" spans="5:21" s="4" customFormat="1" ht="17.25" customHeight="1" x14ac:dyDescent="0.35">
      <c r="E105" s="11"/>
      <c r="F105" s="11"/>
      <c r="G105" s="11"/>
      <c r="H105" s="11"/>
      <c r="I105" s="11"/>
      <c r="J105" s="11"/>
      <c r="K105" s="11"/>
      <c r="L105" s="11"/>
      <c r="M105" s="95"/>
      <c r="N105" s="95"/>
      <c r="O105" s="11"/>
      <c r="P105" s="95"/>
      <c r="Q105" s="11"/>
      <c r="R105" s="95"/>
      <c r="S105" s="95"/>
      <c r="T105" s="95"/>
      <c r="U105" s="95"/>
    </row>
    <row r="106" spans="5:21" s="4" customFormat="1" ht="17.25" customHeight="1" x14ac:dyDescent="0.35">
      <c r="E106" s="11"/>
      <c r="F106" s="11"/>
      <c r="G106" s="11"/>
      <c r="H106" s="11"/>
      <c r="I106" s="11"/>
      <c r="J106" s="11"/>
      <c r="K106" s="11"/>
      <c r="L106" s="11"/>
      <c r="M106" s="95"/>
      <c r="N106" s="95"/>
      <c r="O106" s="11"/>
      <c r="P106" s="95"/>
      <c r="Q106" s="11"/>
      <c r="R106" s="95"/>
      <c r="S106" s="95"/>
      <c r="T106" s="95"/>
      <c r="U106" s="95"/>
    </row>
    <row r="107" spans="5:21" s="4" customFormat="1" ht="17.25" customHeight="1" x14ac:dyDescent="0.35">
      <c r="E107" s="11"/>
      <c r="F107" s="11"/>
      <c r="G107" s="11"/>
      <c r="H107" s="11"/>
      <c r="I107" s="11"/>
      <c r="J107" s="11"/>
      <c r="K107" s="11"/>
      <c r="L107" s="11"/>
      <c r="M107" s="95"/>
      <c r="N107" s="95"/>
      <c r="O107" s="11"/>
      <c r="P107" s="95"/>
      <c r="Q107" s="11"/>
      <c r="R107" s="95"/>
      <c r="S107" s="95"/>
      <c r="T107" s="95"/>
      <c r="U107" s="95"/>
    </row>
    <row r="108" spans="5:21" s="4" customFormat="1" ht="17.25" customHeight="1" x14ac:dyDescent="0.35">
      <c r="E108" s="11"/>
      <c r="F108" s="11"/>
      <c r="G108" s="11"/>
      <c r="H108" s="11"/>
      <c r="I108" s="11"/>
      <c r="J108" s="11"/>
      <c r="K108" s="11"/>
      <c r="L108" s="11"/>
      <c r="M108" s="95"/>
      <c r="N108" s="95"/>
      <c r="O108" s="11"/>
      <c r="P108" s="95"/>
      <c r="Q108" s="11"/>
      <c r="R108" s="95"/>
      <c r="S108" s="95"/>
      <c r="T108" s="95"/>
      <c r="U108" s="95"/>
    </row>
    <row r="109" spans="5:21" s="4" customFormat="1" ht="17.25" customHeight="1" x14ac:dyDescent="0.35">
      <c r="E109" s="11"/>
      <c r="F109" s="11"/>
      <c r="G109" s="11"/>
      <c r="H109" s="11"/>
      <c r="I109" s="11"/>
      <c r="J109" s="11"/>
      <c r="K109" s="11"/>
      <c r="L109" s="11"/>
      <c r="M109" s="95"/>
      <c r="N109" s="95"/>
      <c r="O109" s="11"/>
      <c r="P109" s="95"/>
      <c r="Q109" s="11"/>
      <c r="R109" s="95"/>
      <c r="S109" s="95"/>
      <c r="T109" s="95"/>
      <c r="U109" s="95"/>
    </row>
    <row r="110" spans="5:21" s="4" customFormat="1" ht="17.25" customHeight="1" x14ac:dyDescent="0.35">
      <c r="E110" s="11"/>
      <c r="F110" s="11"/>
      <c r="G110" s="11"/>
      <c r="H110" s="11"/>
      <c r="I110" s="11"/>
      <c r="J110" s="11"/>
      <c r="K110" s="11"/>
      <c r="L110" s="11"/>
      <c r="M110" s="95"/>
      <c r="N110" s="95"/>
      <c r="O110" s="11"/>
      <c r="P110" s="95"/>
      <c r="Q110" s="11"/>
      <c r="R110" s="95"/>
      <c r="S110" s="95"/>
      <c r="T110" s="95"/>
      <c r="U110" s="95"/>
    </row>
    <row r="111" spans="5:21" s="4" customFormat="1" ht="17.25" customHeight="1" x14ac:dyDescent="0.35">
      <c r="E111" s="11"/>
      <c r="F111" s="11"/>
      <c r="G111" s="11"/>
      <c r="H111" s="11"/>
      <c r="I111" s="11"/>
      <c r="J111" s="11"/>
      <c r="K111" s="11"/>
      <c r="L111" s="11"/>
      <c r="M111" s="95"/>
      <c r="N111" s="95"/>
      <c r="O111" s="11"/>
      <c r="P111" s="95"/>
      <c r="Q111" s="11"/>
      <c r="R111" s="95"/>
      <c r="S111" s="95"/>
      <c r="T111" s="95"/>
      <c r="U111" s="95"/>
    </row>
  </sheetData>
  <mergeCells count="51">
    <mergeCell ref="D28:U28"/>
    <mergeCell ref="L25:M25"/>
    <mergeCell ref="O25:U25"/>
    <mergeCell ref="L26:M26"/>
    <mergeCell ref="O26:U26"/>
    <mergeCell ref="L27:M27"/>
    <mergeCell ref="O27:U27"/>
    <mergeCell ref="L22:M22"/>
    <mergeCell ref="O22:U22"/>
    <mergeCell ref="L23:M23"/>
    <mergeCell ref="O23:U23"/>
    <mergeCell ref="L24:M24"/>
    <mergeCell ref="O24:U24"/>
    <mergeCell ref="L19:M19"/>
    <mergeCell ref="O19:U19"/>
    <mergeCell ref="L20:M20"/>
    <mergeCell ref="O20:U20"/>
    <mergeCell ref="L21:M21"/>
    <mergeCell ref="O21:U21"/>
    <mergeCell ref="L16:M16"/>
    <mergeCell ref="O16:U16"/>
    <mergeCell ref="L17:M17"/>
    <mergeCell ref="O17:U17"/>
    <mergeCell ref="L18:M18"/>
    <mergeCell ref="O18:U18"/>
    <mergeCell ref="L13:M13"/>
    <mergeCell ref="O13:U13"/>
    <mergeCell ref="L14:M14"/>
    <mergeCell ref="O14:U14"/>
    <mergeCell ref="L15:M15"/>
    <mergeCell ref="O15:U15"/>
    <mergeCell ref="L10:M10"/>
    <mergeCell ref="O10:U10"/>
    <mergeCell ref="L11:M11"/>
    <mergeCell ref="O11:U11"/>
    <mergeCell ref="L12:M12"/>
    <mergeCell ref="O12:U12"/>
    <mergeCell ref="L7:M7"/>
    <mergeCell ref="O7:U7"/>
    <mergeCell ref="L8:M8"/>
    <mergeCell ref="O8:U8"/>
    <mergeCell ref="L9:M9"/>
    <mergeCell ref="O9:U9"/>
    <mergeCell ref="B5:C5"/>
    <mergeCell ref="D5:F5"/>
    <mergeCell ref="Q5:U5"/>
    <mergeCell ref="D3:H3"/>
    <mergeCell ref="K3:U3"/>
    <mergeCell ref="B4:C4"/>
    <mergeCell ref="D4:F4"/>
    <mergeCell ref="Q4:U4"/>
  </mergeCells>
  <conditionalFormatting sqref="D4:D5 G5">
    <cfRule type="expression" dxfId="351" priority="8">
      <formula>AND($D4="",$W4&lt;&gt;"")</formula>
    </cfRule>
  </conditionalFormatting>
  <conditionalFormatting sqref="D6 D28">
    <cfRule type="containsText" dxfId="350" priority="5" operator="containsText" text="MISSING">
      <formula>NOT(ISERROR(SEARCH("MISSING",D6)))</formula>
    </cfRule>
  </conditionalFormatting>
  <conditionalFormatting sqref="D7 F7 L7 O7 J7:J27">
    <cfRule type="expression" dxfId="349" priority="6">
      <formula>AND($J7="",$Q7&lt;&gt;"")</formula>
    </cfRule>
  </conditionalFormatting>
  <conditionalFormatting sqref="F6">
    <cfRule type="expression" dxfId="348" priority="7">
      <formula>AND($F6="",$Q6&lt;&gt;"")</formula>
    </cfRule>
  </conditionalFormatting>
  <conditionalFormatting sqref="W8:Z27">
    <cfRule type="containsText" dxfId="347" priority="1" operator="containsText" text="must">
      <formula>NOT(ISERROR(SEARCH("must",W8)))</formula>
    </cfRule>
  </conditionalFormatting>
  <dataValidations count="4">
    <dataValidation type="list" showInputMessage="1" showErrorMessage="1" error="Please choose from rulista" sqref="F8:F26" xr:uid="{18C460D5-7786-4B56-9FD1-5F7A464F746B}">
      <formula1>WP.list</formula1>
    </dataValidation>
    <dataValidation type="list" allowBlank="1" showErrorMessage="1" sqref="J8:J26" xr:uid="{341B7EE9-1D13-483F-B82C-0D9A5EAD6AE0}">
      <formula1>Program</formula1>
    </dataValidation>
    <dataValidation type="list" allowBlank="1" showInputMessage="1" showErrorMessage="1" sqref="N8:N16" xr:uid="{5BE1A13A-7ECC-489A-ACA2-4906672835A8}">
      <formula1>Program</formula1>
    </dataValidation>
    <dataValidation type="list" allowBlank="1" showInputMessage="1" showErrorMessage="1" sqref="L8:M26" xr:uid="{31763BCD-2A31-411B-AA39-84ED8F55A2C4}">
      <formula1>Activity</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D0EDD-5AB1-45C2-B4F6-20523CD1D2F7}">
  <dimension ref="A1:T32"/>
  <sheetViews>
    <sheetView showGridLines="0" zoomScale="80" zoomScaleNormal="80" workbookViewId="0">
      <selection activeCell="J3" sqref="J3:T3"/>
    </sheetView>
  </sheetViews>
  <sheetFormatPr defaultRowHeight="14.5" x14ac:dyDescent="0.35"/>
  <cols>
    <col min="1" max="1" width="14.81640625" style="4" customWidth="1"/>
    <col min="2" max="2" width="2.54296875" style="4" customWidth="1"/>
    <col min="3" max="3" width="30.81640625" style="4" customWidth="1"/>
    <col min="4" max="4" width="1.81640625" style="11" customWidth="1"/>
    <col min="5" max="5" width="12.54296875" style="11" customWidth="1"/>
    <col min="6" max="6" width="1.81640625" style="11" customWidth="1"/>
    <col min="7" max="7" width="16.81640625" style="11" customWidth="1"/>
    <col min="8" max="8" width="1.81640625" style="11" customWidth="1"/>
    <col min="9" max="9" width="18" style="11" customWidth="1"/>
    <col min="10" max="10" width="1.81640625" style="11" customWidth="1"/>
    <col min="11" max="11" width="9" style="11" hidden="1" customWidth="1"/>
    <col min="12" max="12" width="9.1796875" style="95" hidden="1" customWidth="1"/>
    <col min="13" max="13" width="3.453125" style="95" hidden="1" customWidth="1"/>
    <col min="14" max="14" width="9.54296875" style="11" bestFit="1" customWidth="1"/>
    <col min="15" max="15" width="3.54296875" style="95" customWidth="1"/>
    <col min="16" max="16" width="9.1796875" style="11" bestFit="1" customWidth="1"/>
    <col min="17" max="17" width="1.453125" style="95" customWidth="1"/>
    <col min="18" max="18" width="9.1796875" style="95" bestFit="1" customWidth="1"/>
    <col min="19" max="19" width="1.1796875" style="95" customWidth="1"/>
    <col min="20" max="20" width="9.1796875" style="95" customWidth="1"/>
  </cols>
  <sheetData>
    <row r="1" spans="1:20" ht="21" x14ac:dyDescent="0.5">
      <c r="A1" s="144"/>
      <c r="B1" s="145" t="s">
        <v>6</v>
      </c>
      <c r="C1" s="146"/>
      <c r="D1" s="147"/>
      <c r="E1" s="147"/>
      <c r="F1" s="147"/>
      <c r="G1" s="147"/>
      <c r="H1" s="147"/>
      <c r="I1" s="147"/>
      <c r="J1" s="147"/>
      <c r="K1" s="147"/>
      <c r="L1" s="148"/>
      <c r="M1" s="148"/>
      <c r="N1" s="147"/>
      <c r="O1" s="148"/>
      <c r="P1" s="147"/>
      <c r="Q1" s="148"/>
      <c r="R1" s="148"/>
      <c r="S1" s="148"/>
      <c r="T1" s="148"/>
    </row>
    <row r="2" spans="1:20" ht="16" thickBot="1" x14ac:dyDescent="0.4">
      <c r="D2" s="130" t="str">
        <f>IF(C29="","","Detailed error message is displayed to the right =&gt;")</f>
        <v/>
      </c>
      <c r="E2" s="2"/>
      <c r="F2" s="2"/>
      <c r="G2" s="2"/>
      <c r="H2" s="2"/>
      <c r="I2" s="1"/>
      <c r="J2" s="1"/>
      <c r="K2" s="1"/>
      <c r="L2" s="32"/>
      <c r="M2" s="32"/>
      <c r="N2" s="1"/>
      <c r="O2" s="32"/>
      <c r="P2" s="1"/>
      <c r="Q2" s="32"/>
      <c r="R2" s="32"/>
      <c r="S2" s="32"/>
      <c r="T2" s="32"/>
    </row>
    <row r="3" spans="1:20" ht="19" thickBot="1" x14ac:dyDescent="0.4">
      <c r="A3" s="39" t="s">
        <v>7</v>
      </c>
      <c r="B3" s="39"/>
      <c r="C3" s="277" t="s">
        <v>8</v>
      </c>
      <c r="D3" s="277"/>
      <c r="E3" s="277"/>
      <c r="F3" s="277"/>
      <c r="G3" s="277"/>
      <c r="H3" s="39"/>
      <c r="I3" s="39" t="s">
        <v>9</v>
      </c>
      <c r="J3" s="286">
        <v>2025</v>
      </c>
      <c r="K3" s="287"/>
      <c r="L3" s="287"/>
      <c r="M3" s="287"/>
      <c r="N3" s="287"/>
      <c r="O3" s="287"/>
      <c r="P3" s="287"/>
      <c r="Q3" s="287"/>
      <c r="R3" s="287"/>
      <c r="S3" s="287"/>
      <c r="T3" s="288"/>
    </row>
    <row r="4" spans="1:20" ht="15.5" x14ac:dyDescent="0.35">
      <c r="A4" s="272" t="s">
        <v>10</v>
      </c>
      <c r="B4" s="272"/>
      <c r="C4" s="289" t="s">
        <v>26</v>
      </c>
      <c r="D4" s="289"/>
      <c r="E4" s="289"/>
      <c r="F4" s="175"/>
      <c r="G4" s="33" t="s">
        <v>11</v>
      </c>
      <c r="H4" s="175"/>
      <c r="I4" s="187" t="s">
        <v>27</v>
      </c>
      <c r="N4" s="33" t="s">
        <v>12</v>
      </c>
      <c r="O4" s="178"/>
      <c r="P4" s="293" t="s">
        <v>28</v>
      </c>
      <c r="Q4" s="294"/>
      <c r="R4" s="294"/>
      <c r="S4" s="294"/>
      <c r="T4" s="295"/>
    </row>
    <row r="5" spans="1:20" ht="15.5" customHeight="1" x14ac:dyDescent="0.35">
      <c r="A5" s="273" t="s">
        <v>13</v>
      </c>
      <c r="B5" s="272"/>
      <c r="C5" s="289" t="s">
        <v>29</v>
      </c>
      <c r="D5" s="289"/>
      <c r="E5" s="289"/>
      <c r="F5" s="176"/>
      <c r="G5" s="33" t="s">
        <v>11</v>
      </c>
      <c r="H5" s="175"/>
      <c r="I5" s="187" t="s">
        <v>27</v>
      </c>
      <c r="N5" s="33" t="s">
        <v>12</v>
      </c>
      <c r="O5" s="178"/>
      <c r="P5" s="290" t="s">
        <v>30</v>
      </c>
      <c r="Q5" s="291"/>
      <c r="R5" s="291"/>
      <c r="S5" s="291"/>
      <c r="T5" s="292"/>
    </row>
    <row r="6" spans="1:20" ht="15.5" x14ac:dyDescent="0.35">
      <c r="A6" s="60"/>
      <c r="B6" s="60"/>
      <c r="C6" s="63" t="str">
        <f>IF(OR(Member=0,Supervisor=0,Title.member=0,Title.supervisor=0),"• Missing information – Fill in all names and title/function on the Start Page","")</f>
        <v>• Missing information – Fill in all names and title/function on the Start Page</v>
      </c>
      <c r="D6"/>
      <c r="E6" s="92"/>
      <c r="F6" s="92"/>
      <c r="G6" s="92"/>
      <c r="H6" s="92"/>
      <c r="I6" s="93"/>
      <c r="J6" s="94"/>
      <c r="K6" s="94"/>
      <c r="L6" s="94"/>
      <c r="M6" s="94"/>
      <c r="N6" s="94"/>
      <c r="O6" s="94"/>
      <c r="P6" s="94"/>
      <c r="Q6" s="94"/>
      <c r="R6" s="94"/>
      <c r="S6" s="94"/>
      <c r="T6" s="94"/>
    </row>
    <row r="7" spans="1:20" x14ac:dyDescent="0.35">
      <c r="A7" s="97"/>
      <c r="B7" s="97"/>
      <c r="C7" s="96" t="s">
        <v>14</v>
      </c>
      <c r="D7" s="76"/>
      <c r="E7" s="96" t="s">
        <v>15</v>
      </c>
      <c r="F7" s="76"/>
      <c r="G7" s="96" t="s">
        <v>16</v>
      </c>
      <c r="H7" s="96"/>
      <c r="I7" s="96" t="s">
        <v>17</v>
      </c>
      <c r="J7" s="96"/>
      <c r="K7" s="278"/>
      <c r="L7" s="278"/>
      <c r="M7" s="96"/>
      <c r="N7" s="278" t="s">
        <v>18</v>
      </c>
      <c r="O7" s="279"/>
      <c r="P7" s="279"/>
      <c r="Q7" s="279"/>
      <c r="R7" s="279"/>
      <c r="S7" s="279"/>
      <c r="T7" s="279"/>
    </row>
    <row r="8" spans="1:20" x14ac:dyDescent="0.35">
      <c r="A8" s="131">
        <v>1</v>
      </c>
      <c r="C8" s="188" t="s">
        <v>31</v>
      </c>
      <c r="D8" s="76"/>
      <c r="E8" s="188" t="s">
        <v>32</v>
      </c>
      <c r="F8" s="76"/>
      <c r="G8" s="188">
        <v>599437</v>
      </c>
      <c r="H8" s="102"/>
      <c r="I8" s="188" t="s">
        <v>72</v>
      </c>
      <c r="J8" s="96"/>
      <c r="K8" s="268"/>
      <c r="L8" s="270"/>
      <c r="M8" s="97"/>
      <c r="N8" s="268"/>
      <c r="O8" s="269"/>
      <c r="P8" s="269"/>
      <c r="Q8" s="269"/>
      <c r="R8" s="269"/>
      <c r="S8" s="269"/>
      <c r="T8" s="270"/>
    </row>
    <row r="9" spans="1:20" x14ac:dyDescent="0.35">
      <c r="A9" s="131">
        <v>2</v>
      </c>
      <c r="C9" s="188" t="s">
        <v>31</v>
      </c>
      <c r="D9" s="76"/>
      <c r="E9" s="188" t="s">
        <v>34</v>
      </c>
      <c r="F9" s="76"/>
      <c r="G9" s="188">
        <v>599437</v>
      </c>
      <c r="H9" s="103"/>
      <c r="I9" s="188" t="s">
        <v>72</v>
      </c>
      <c r="J9" s="96"/>
      <c r="K9" s="268"/>
      <c r="L9" s="270"/>
      <c r="M9" s="97"/>
      <c r="N9" s="268"/>
      <c r="O9" s="269"/>
      <c r="P9" s="269"/>
      <c r="Q9" s="269"/>
      <c r="R9" s="269"/>
      <c r="S9" s="269"/>
      <c r="T9" s="270"/>
    </row>
    <row r="10" spans="1:20" x14ac:dyDescent="0.35">
      <c r="A10" s="131">
        <v>3</v>
      </c>
      <c r="C10" s="101"/>
      <c r="D10" s="76"/>
      <c r="E10" s="101"/>
      <c r="F10" s="76"/>
      <c r="G10" s="101"/>
      <c r="H10" s="103"/>
      <c r="I10" s="101"/>
      <c r="J10" s="96"/>
      <c r="K10" s="268"/>
      <c r="L10" s="270"/>
      <c r="M10" s="97"/>
      <c r="N10" s="268"/>
      <c r="O10" s="269"/>
      <c r="P10" s="269"/>
      <c r="Q10" s="269"/>
      <c r="R10" s="269"/>
      <c r="S10" s="269"/>
      <c r="T10" s="270"/>
    </row>
    <row r="11" spans="1:20" x14ac:dyDescent="0.35">
      <c r="A11" s="131">
        <v>4</v>
      </c>
      <c r="C11" s="101"/>
      <c r="D11" s="76"/>
      <c r="E11" s="101"/>
      <c r="F11" s="76"/>
      <c r="G11" s="101"/>
      <c r="H11" s="103"/>
      <c r="I11" s="101"/>
      <c r="J11" s="96"/>
      <c r="K11" s="268"/>
      <c r="L11" s="270"/>
      <c r="M11" s="97"/>
      <c r="N11" s="268"/>
      <c r="O11" s="269"/>
      <c r="P11" s="269"/>
      <c r="Q11" s="269"/>
      <c r="R11" s="269"/>
      <c r="S11" s="269"/>
      <c r="T11" s="270"/>
    </row>
    <row r="12" spans="1:20" x14ac:dyDescent="0.35">
      <c r="A12" s="131">
        <v>5</v>
      </c>
      <c r="C12" s="101"/>
      <c r="D12" s="76"/>
      <c r="E12" s="101"/>
      <c r="F12" s="76"/>
      <c r="G12" s="101"/>
      <c r="H12" s="103"/>
      <c r="I12" s="101"/>
      <c r="J12" s="96"/>
      <c r="K12" s="268"/>
      <c r="L12" s="270"/>
      <c r="M12" s="97"/>
      <c r="N12" s="268"/>
      <c r="O12" s="269"/>
      <c r="P12" s="269"/>
      <c r="Q12" s="269"/>
      <c r="R12" s="269"/>
      <c r="S12" s="269"/>
      <c r="T12" s="270"/>
    </row>
    <row r="13" spans="1:20" x14ac:dyDescent="0.35">
      <c r="A13" s="131">
        <v>6</v>
      </c>
      <c r="C13" s="101"/>
      <c r="D13" s="76"/>
      <c r="E13" s="101"/>
      <c r="F13" s="76"/>
      <c r="G13" s="101"/>
      <c r="H13" s="103"/>
      <c r="I13" s="101"/>
      <c r="J13" s="96"/>
      <c r="K13" s="268"/>
      <c r="L13" s="270"/>
      <c r="M13" s="97"/>
      <c r="N13" s="268"/>
      <c r="O13" s="269"/>
      <c r="P13" s="269"/>
      <c r="Q13" s="269"/>
      <c r="R13" s="269"/>
      <c r="S13" s="269"/>
      <c r="T13" s="270"/>
    </row>
    <row r="14" spans="1:20" x14ac:dyDescent="0.35">
      <c r="A14" s="131">
        <v>7</v>
      </c>
      <c r="C14" s="101"/>
      <c r="D14" s="76"/>
      <c r="E14" s="101"/>
      <c r="F14" s="76"/>
      <c r="G14" s="101"/>
      <c r="H14" s="103"/>
      <c r="I14" s="101"/>
      <c r="J14" s="96"/>
      <c r="K14" s="268"/>
      <c r="L14" s="270"/>
      <c r="M14" s="97"/>
      <c r="N14" s="268"/>
      <c r="O14" s="269"/>
      <c r="P14" s="269"/>
      <c r="Q14" s="269"/>
      <c r="R14" s="269"/>
      <c r="S14" s="269"/>
      <c r="T14" s="270"/>
    </row>
    <row r="15" spans="1:20" x14ac:dyDescent="0.35">
      <c r="A15" s="131">
        <v>8</v>
      </c>
      <c r="C15" s="101"/>
      <c r="D15" s="104"/>
      <c r="E15" s="101"/>
      <c r="F15" s="76"/>
      <c r="G15" s="101"/>
      <c r="H15" s="103"/>
      <c r="I15" s="101"/>
      <c r="J15" s="96"/>
      <c r="K15" s="268"/>
      <c r="L15" s="270"/>
      <c r="M15" s="97"/>
      <c r="N15" s="268"/>
      <c r="O15" s="269"/>
      <c r="P15" s="269"/>
      <c r="Q15" s="269"/>
      <c r="R15" s="269"/>
      <c r="S15" s="269"/>
      <c r="T15" s="270"/>
    </row>
    <row r="16" spans="1:20" x14ac:dyDescent="0.35">
      <c r="A16" s="131">
        <v>9</v>
      </c>
      <c r="C16" s="101"/>
      <c r="D16" s="104"/>
      <c r="E16" s="101"/>
      <c r="F16" s="76"/>
      <c r="G16" s="101"/>
      <c r="H16" s="103"/>
      <c r="I16" s="101"/>
      <c r="J16" s="96"/>
      <c r="K16" s="268"/>
      <c r="L16" s="270"/>
      <c r="M16" s="97"/>
      <c r="N16" s="268"/>
      <c r="O16" s="269"/>
      <c r="P16" s="269"/>
      <c r="Q16" s="269"/>
      <c r="R16" s="269"/>
      <c r="S16" s="269"/>
      <c r="T16" s="270"/>
    </row>
    <row r="17" spans="1:20" x14ac:dyDescent="0.35">
      <c r="A17" s="131">
        <v>10</v>
      </c>
      <c r="C17" s="101"/>
      <c r="D17" s="97"/>
      <c r="E17" s="101"/>
      <c r="F17" s="97"/>
      <c r="G17" s="101"/>
      <c r="H17" s="97"/>
      <c r="I17" s="101"/>
      <c r="J17" s="96"/>
      <c r="K17" s="268"/>
      <c r="L17" s="270"/>
      <c r="M17" s="76"/>
      <c r="N17" s="268"/>
      <c r="O17" s="269"/>
      <c r="P17" s="269"/>
      <c r="Q17" s="269"/>
      <c r="R17" s="269"/>
      <c r="S17" s="269"/>
      <c r="T17" s="270"/>
    </row>
    <row r="18" spans="1:20" x14ac:dyDescent="0.35">
      <c r="A18" s="131">
        <v>11</v>
      </c>
      <c r="C18" s="101"/>
      <c r="D18" s="97"/>
      <c r="E18" s="101"/>
      <c r="F18" s="76"/>
      <c r="G18" s="101"/>
      <c r="H18" s="76"/>
      <c r="I18" s="101"/>
      <c r="J18" s="96"/>
      <c r="K18" s="268"/>
      <c r="L18" s="270"/>
      <c r="M18" s="99"/>
      <c r="N18" s="268"/>
      <c r="O18" s="269"/>
      <c r="P18" s="269"/>
      <c r="Q18" s="269"/>
      <c r="R18" s="269"/>
      <c r="S18" s="269"/>
      <c r="T18" s="270"/>
    </row>
    <row r="19" spans="1:20" ht="15.5" x14ac:dyDescent="0.35">
      <c r="A19" s="131">
        <v>12</v>
      </c>
      <c r="B19" s="6"/>
      <c r="C19" s="101"/>
      <c r="D19" s="105"/>
      <c r="E19" s="101"/>
      <c r="F19" s="105"/>
      <c r="G19" s="101"/>
      <c r="H19" s="105"/>
      <c r="I19" s="101"/>
      <c r="J19" s="96"/>
      <c r="K19" s="268"/>
      <c r="L19" s="270"/>
      <c r="M19" s="100"/>
      <c r="N19" s="268"/>
      <c r="O19" s="269"/>
      <c r="P19" s="269"/>
      <c r="Q19" s="269"/>
      <c r="R19" s="269"/>
      <c r="S19" s="269"/>
      <c r="T19" s="270"/>
    </row>
    <row r="20" spans="1:20" x14ac:dyDescent="0.35">
      <c r="A20" s="131">
        <v>13</v>
      </c>
      <c r="C20" s="101"/>
      <c r="D20" s="76"/>
      <c r="E20" s="101"/>
      <c r="F20" s="76"/>
      <c r="G20" s="101"/>
      <c r="H20" s="76"/>
      <c r="I20" s="101"/>
      <c r="J20" s="96"/>
      <c r="K20" s="268"/>
      <c r="L20" s="270"/>
      <c r="M20" s="99"/>
      <c r="N20" s="268"/>
      <c r="O20" s="269"/>
      <c r="P20" s="269"/>
      <c r="Q20" s="269"/>
      <c r="R20" s="269"/>
      <c r="S20" s="269"/>
      <c r="T20" s="270"/>
    </row>
    <row r="21" spans="1:20" x14ac:dyDescent="0.35">
      <c r="A21" s="131">
        <v>14</v>
      </c>
      <c r="C21" s="101"/>
      <c r="D21" s="106"/>
      <c r="E21" s="101"/>
      <c r="F21" s="106"/>
      <c r="G21" s="101"/>
      <c r="H21" s="106"/>
      <c r="I21" s="101"/>
      <c r="J21" s="96"/>
      <c r="K21" s="268"/>
      <c r="L21" s="270"/>
      <c r="M21" s="106"/>
      <c r="N21" s="268"/>
      <c r="O21" s="269"/>
      <c r="P21" s="269"/>
      <c r="Q21" s="269"/>
      <c r="R21" s="269"/>
      <c r="S21" s="269"/>
      <c r="T21" s="270"/>
    </row>
    <row r="22" spans="1:20" x14ac:dyDescent="0.35">
      <c r="A22" s="131">
        <v>15</v>
      </c>
      <c r="C22" s="101"/>
      <c r="D22" s="76"/>
      <c r="E22" s="101"/>
      <c r="F22" s="76"/>
      <c r="G22" s="101"/>
      <c r="H22" s="76"/>
      <c r="I22" s="101"/>
      <c r="J22" s="96"/>
      <c r="K22" s="268"/>
      <c r="L22" s="270"/>
      <c r="M22" s="99"/>
      <c r="N22" s="268"/>
      <c r="O22" s="269"/>
      <c r="P22" s="269"/>
      <c r="Q22" s="269"/>
      <c r="R22" s="269"/>
      <c r="S22" s="269"/>
      <c r="T22" s="270"/>
    </row>
    <row r="23" spans="1:20" x14ac:dyDescent="0.35">
      <c r="A23" s="131">
        <v>16</v>
      </c>
      <c r="C23" s="101"/>
      <c r="D23" s="76"/>
      <c r="E23" s="101"/>
      <c r="F23" s="76"/>
      <c r="G23" s="101"/>
      <c r="H23" s="76"/>
      <c r="I23" s="101"/>
      <c r="J23" s="96"/>
      <c r="K23" s="268"/>
      <c r="L23" s="270"/>
      <c r="M23" s="99"/>
      <c r="N23" s="268"/>
      <c r="O23" s="269"/>
      <c r="P23" s="269"/>
      <c r="Q23" s="269"/>
      <c r="R23" s="269"/>
      <c r="S23" s="269"/>
      <c r="T23" s="270"/>
    </row>
    <row r="24" spans="1:20" x14ac:dyDescent="0.35">
      <c r="A24" s="131">
        <v>17</v>
      </c>
      <c r="C24" s="101"/>
      <c r="D24" s="76"/>
      <c r="E24" s="101"/>
      <c r="F24" s="76"/>
      <c r="G24" s="101"/>
      <c r="H24" s="76"/>
      <c r="I24" s="101"/>
      <c r="J24" s="96"/>
      <c r="K24" s="268"/>
      <c r="L24" s="270"/>
      <c r="M24" s="99"/>
      <c r="N24" s="268"/>
      <c r="O24" s="269"/>
      <c r="P24" s="269"/>
      <c r="Q24" s="269"/>
      <c r="R24" s="269"/>
      <c r="S24" s="269"/>
      <c r="T24" s="270"/>
    </row>
    <row r="25" spans="1:20" x14ac:dyDescent="0.35">
      <c r="A25" s="131">
        <v>18</v>
      </c>
      <c r="C25" s="101"/>
      <c r="D25" s="76"/>
      <c r="E25" s="101"/>
      <c r="F25" s="76"/>
      <c r="G25" s="101"/>
      <c r="H25" s="76"/>
      <c r="I25" s="101"/>
      <c r="J25" s="96"/>
      <c r="K25" s="268"/>
      <c r="L25" s="270"/>
      <c r="M25" s="99"/>
      <c r="N25" s="268"/>
      <c r="O25" s="269"/>
      <c r="P25" s="269"/>
      <c r="Q25" s="269"/>
      <c r="R25" s="269"/>
      <c r="S25" s="269"/>
      <c r="T25" s="270"/>
    </row>
    <row r="26" spans="1:20" x14ac:dyDescent="0.35">
      <c r="A26" s="131">
        <v>19</v>
      </c>
      <c r="C26" s="101"/>
      <c r="D26" s="76"/>
      <c r="E26" s="101"/>
      <c r="F26" s="76"/>
      <c r="G26" s="101"/>
      <c r="H26" s="76"/>
      <c r="I26" s="101"/>
      <c r="J26" s="96"/>
      <c r="K26" s="268"/>
      <c r="L26" s="270"/>
      <c r="M26" s="99"/>
      <c r="N26" s="268"/>
      <c r="O26" s="269"/>
      <c r="P26" s="269"/>
      <c r="Q26" s="269"/>
      <c r="R26" s="269"/>
      <c r="S26" s="269"/>
      <c r="T26" s="270"/>
    </row>
    <row r="27" spans="1:20" x14ac:dyDescent="0.35">
      <c r="A27" s="96"/>
      <c r="B27" s="98"/>
      <c r="D27" s="76"/>
      <c r="E27" s="110"/>
      <c r="F27" s="76"/>
      <c r="G27" s="110"/>
      <c r="H27" s="76"/>
      <c r="I27" s="110"/>
      <c r="J27" s="96"/>
      <c r="K27" s="271"/>
      <c r="L27" s="271"/>
      <c r="M27" s="111"/>
      <c r="N27" s="271"/>
      <c r="O27" s="271"/>
      <c r="P27" s="271"/>
      <c r="Q27" s="271"/>
      <c r="R27" s="271"/>
      <c r="S27" s="271"/>
      <c r="T27" s="271"/>
    </row>
    <row r="29" spans="1:20" ht="15.5" x14ac:dyDescent="0.35">
      <c r="C29" s="5" t="str">
        <f>IF(SUM(Z28:AD28)&gt;0,"MISSING INFORMATION! - Please double check so all project information is entered in the start page!","")</f>
        <v/>
      </c>
    </row>
    <row r="30" spans="1:20" ht="15.5" x14ac:dyDescent="0.35">
      <c r="C30" s="5" t="str">
        <f>IF(AE28=0,"• Missing information – Enter Project Acronym/name","")</f>
        <v>• Missing information – Enter Project Acronym/name</v>
      </c>
    </row>
    <row r="31" spans="1:20" ht="15.5" x14ac:dyDescent="0.35">
      <c r="C31" s="5"/>
    </row>
    <row r="32" spans="1:20" ht="15.5" x14ac:dyDescent="0.35">
      <c r="C32" s="265" t="s">
        <v>25</v>
      </c>
      <c r="D32" s="266"/>
      <c r="E32" s="266"/>
      <c r="F32" s="266"/>
      <c r="G32" s="266"/>
      <c r="H32" s="266"/>
      <c r="I32" s="266"/>
      <c r="J32" s="266"/>
      <c r="K32" s="266"/>
      <c r="L32" s="266"/>
      <c r="M32" s="266"/>
      <c r="N32" s="266"/>
      <c r="O32" s="266"/>
      <c r="P32" s="266"/>
      <c r="Q32" s="266"/>
      <c r="R32" s="266"/>
      <c r="S32" s="266"/>
      <c r="T32" s="267"/>
    </row>
  </sheetData>
  <sheetProtection algorithmName="SHA-512" hashValue="SPGkZb/+Wrp9Y8Wn32CpRKGoJJ+Ed5cjcCPU+Ov3FNbQuyQSChcd2T+QFGxCF7sp7k/Gc6jLwHfyXjiN4+SFdw==" saltValue="dkpi66KKjbL2TfPsejCVUw==" spinCount="100000" sheet="1" objects="1" scenarios="1"/>
  <mergeCells count="51">
    <mergeCell ref="C32:T32"/>
    <mergeCell ref="K25:L25"/>
    <mergeCell ref="N25:T25"/>
    <mergeCell ref="K26:L26"/>
    <mergeCell ref="N26:T26"/>
    <mergeCell ref="K27:L27"/>
    <mergeCell ref="N27:T27"/>
    <mergeCell ref="K22:L22"/>
    <mergeCell ref="N22:T22"/>
    <mergeCell ref="K23:L23"/>
    <mergeCell ref="N23:T23"/>
    <mergeCell ref="K24:L24"/>
    <mergeCell ref="N24:T24"/>
    <mergeCell ref="K19:L19"/>
    <mergeCell ref="N19:T19"/>
    <mergeCell ref="K20:L20"/>
    <mergeCell ref="N20:T20"/>
    <mergeCell ref="K21:L21"/>
    <mergeCell ref="N21:T21"/>
    <mergeCell ref="K16:L16"/>
    <mergeCell ref="N16:T16"/>
    <mergeCell ref="K17:L17"/>
    <mergeCell ref="N17:T17"/>
    <mergeCell ref="K18:L18"/>
    <mergeCell ref="N18:T18"/>
    <mergeCell ref="K13:L13"/>
    <mergeCell ref="N13:T13"/>
    <mergeCell ref="K14:L14"/>
    <mergeCell ref="N14:T14"/>
    <mergeCell ref="K15:L15"/>
    <mergeCell ref="N15:T15"/>
    <mergeCell ref="K10:L10"/>
    <mergeCell ref="N10:T10"/>
    <mergeCell ref="K11:L11"/>
    <mergeCell ref="N11:T11"/>
    <mergeCell ref="K12:L12"/>
    <mergeCell ref="N12:T12"/>
    <mergeCell ref="K7:L7"/>
    <mergeCell ref="N7:T7"/>
    <mergeCell ref="K8:L8"/>
    <mergeCell ref="N8:T8"/>
    <mergeCell ref="K9:L9"/>
    <mergeCell ref="N9:T9"/>
    <mergeCell ref="A5:B5"/>
    <mergeCell ref="C5:E5"/>
    <mergeCell ref="P5:T5"/>
    <mergeCell ref="C3:G3"/>
    <mergeCell ref="J3:T3"/>
    <mergeCell ref="A4:B4"/>
    <mergeCell ref="C4:E4"/>
    <mergeCell ref="P4:T4"/>
  </mergeCells>
  <conditionalFormatting sqref="C4:C5 F5">
    <cfRule type="expression" dxfId="346" priority="6">
      <formula>AND($D4="",$W4&lt;&gt;"")</formula>
    </cfRule>
  </conditionalFormatting>
  <conditionalFormatting sqref="C6">
    <cfRule type="containsText" dxfId="345" priority="3" operator="containsText" text="MISSING">
      <formula>NOT(ISERROR(SEARCH("MISSING",C6)))</formula>
    </cfRule>
  </conditionalFormatting>
  <conditionalFormatting sqref="C7 E7 K7 N7">
    <cfRule type="expression" dxfId="344" priority="4">
      <formula>AND($J7="",$Q7&lt;&gt;"")</formula>
    </cfRule>
  </conditionalFormatting>
  <conditionalFormatting sqref="C29:C32">
    <cfRule type="containsText" dxfId="343" priority="1" operator="containsText" text="MISSING">
      <formula>NOT(ISERROR(SEARCH("MISSING",C29)))</formula>
    </cfRule>
  </conditionalFormatting>
  <conditionalFormatting sqref="E6">
    <cfRule type="expression" dxfId="342" priority="5">
      <formula>AND($F6="",$Q6&lt;&gt;"")</formula>
    </cfRule>
  </conditionalFormatting>
  <conditionalFormatting sqref="I7:I27">
    <cfRule type="expression" dxfId="341" priority="2">
      <formula>AND($J7="",$Q7&lt;&gt;"")</formula>
    </cfRule>
  </conditionalFormatting>
  <dataValidations count="4">
    <dataValidation type="list" showInputMessage="1" showErrorMessage="1" error="Please choose from rulista" sqref="E8:E26" xr:uid="{F70AD4F4-2EBB-4267-BF14-0D052DF4EDC2}">
      <formula1>WP.list</formula1>
    </dataValidation>
    <dataValidation type="list" allowBlank="1" showErrorMessage="1" sqref="I8:I26" xr:uid="{B856273C-219D-4712-8E53-5FE8BB3D9EC5}">
      <formula1>Program</formula1>
    </dataValidation>
    <dataValidation type="list" allowBlank="1" showInputMessage="1" showErrorMessage="1" sqref="M8:M16" xr:uid="{FFB2BD6A-96D7-4CD2-A7B0-A1BDA3F28A24}">
      <formula1>Program</formula1>
    </dataValidation>
    <dataValidation type="list" allowBlank="1" showInputMessage="1" showErrorMessage="1" sqref="K8:L26" xr:uid="{241ABEE8-FBE0-46DC-9251-21D2AB6C3E56}">
      <formula1>Activity</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6DA29-E8F7-446F-97F8-AA8E2AF82662}">
  <dimension ref="B1:AM166"/>
  <sheetViews>
    <sheetView showGridLines="0" zoomScale="50" zoomScaleNormal="50" workbookViewId="0">
      <selection activeCell="AK25" sqref="AK25"/>
    </sheetView>
  </sheetViews>
  <sheetFormatPr defaultColWidth="9.1796875" defaultRowHeight="14.5" customHeight="1" zeroHeight="1" x14ac:dyDescent="0.35"/>
  <cols>
    <col min="1" max="1" width="1.54296875" customWidth="1"/>
    <col min="2" max="2" width="40" customWidth="1"/>
    <col min="3" max="3" width="23.81640625" customWidth="1"/>
    <col min="4" max="6" width="5.81640625" customWidth="1"/>
    <col min="7" max="34" width="5.1796875" customWidth="1"/>
    <col min="35" max="36" width="8.1796875" customWidth="1"/>
    <col min="38" max="38" width="29.54296875" customWidth="1"/>
    <col min="39" max="39" width="5.1796875" customWidth="1"/>
    <col min="40" max="40" width="26.1796875" customWidth="1"/>
  </cols>
  <sheetData>
    <row r="1" spans="2:38" ht="21" x14ac:dyDescent="0.35">
      <c r="B1" s="75" t="s">
        <v>35</v>
      </c>
      <c r="C1" s="149">
        <f>Year</f>
        <v>2025</v>
      </c>
      <c r="D1" s="106"/>
      <c r="E1" s="106"/>
      <c r="F1" s="106"/>
      <c r="G1" s="106"/>
      <c r="H1" s="106"/>
      <c r="I1" s="106"/>
      <c r="J1" s="106"/>
      <c r="K1" s="106"/>
      <c r="L1" s="106"/>
      <c r="M1" s="76"/>
      <c r="N1" s="89"/>
      <c r="O1" s="197"/>
      <c r="P1" s="198" t="s">
        <v>36</v>
      </c>
      <c r="Q1" s="190">
        <f>Member</f>
        <v>0</v>
      </c>
      <c r="R1" s="189"/>
      <c r="S1" s="191"/>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1</v>
      </c>
      <c r="H2" s="41" t="b">
        <f t="shared" ca="1" si="0"/>
        <v>1</v>
      </c>
      <c r="I2" s="41" t="b">
        <f t="shared" ca="1" si="0"/>
        <v>1</v>
      </c>
      <c r="J2" s="41" t="b">
        <f t="shared" ca="1" si="0"/>
        <v>0</v>
      </c>
      <c r="K2" s="41" t="b">
        <f t="shared" ca="1" si="0"/>
        <v>0</v>
      </c>
      <c r="L2" s="41" t="b">
        <f t="shared" ca="1" si="0"/>
        <v>0</v>
      </c>
      <c r="M2" s="41" t="b">
        <f t="shared" ca="1" si="0"/>
        <v>0</v>
      </c>
      <c r="N2" s="41" t="b">
        <f t="shared" ca="1" si="0"/>
        <v>1</v>
      </c>
      <c r="O2" s="41" t="b">
        <f t="shared" ca="1" si="0"/>
        <v>1</v>
      </c>
      <c r="P2" s="41" t="b">
        <f t="shared" ca="1" si="0"/>
        <v>0</v>
      </c>
      <c r="Q2" s="41" t="b">
        <f t="shared" ca="1" si="0"/>
        <v>0</v>
      </c>
      <c r="R2" s="90" t="b">
        <f t="shared" ca="1" si="0"/>
        <v>0</v>
      </c>
      <c r="S2" s="41" t="b">
        <f t="shared" ca="1" si="0"/>
        <v>0</v>
      </c>
      <c r="T2" s="41" t="b">
        <f t="shared" ca="1" si="0"/>
        <v>0</v>
      </c>
      <c r="U2" s="41" t="b">
        <f t="shared" ca="1" si="0"/>
        <v>1</v>
      </c>
      <c r="V2" s="41" t="b">
        <f t="shared" ca="1" si="0"/>
        <v>1</v>
      </c>
      <c r="W2" s="41" t="b">
        <f t="shared" ca="1" si="0"/>
        <v>0</v>
      </c>
      <c r="X2" s="41" t="b">
        <f t="shared" ca="1" si="0"/>
        <v>0</v>
      </c>
      <c r="Y2" s="41" t="b">
        <f t="shared" ca="1" si="0"/>
        <v>0</v>
      </c>
      <c r="Z2" s="41" t="b">
        <f t="shared" ca="1" si="0"/>
        <v>0</v>
      </c>
      <c r="AA2" s="41" t="b">
        <f t="shared" ca="1" si="0"/>
        <v>0</v>
      </c>
      <c r="AB2" s="41" t="b">
        <f t="shared" ca="1" si="0"/>
        <v>1</v>
      </c>
      <c r="AC2" s="41" t="b">
        <f t="shared" ca="1" si="0"/>
        <v>1</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79"/>
      <c r="AJ2" s="79"/>
      <c r="AK2" s="91"/>
    </row>
    <row r="3" spans="2:38" ht="51" customHeight="1" x14ac:dyDescent="0.35">
      <c r="B3" s="66" t="s">
        <v>37</v>
      </c>
      <c r="C3" s="67"/>
      <c r="D3" s="68">
        <f>DATEVALUE(AloxÅr&amp;"-"&amp;VLOOKUP(LEFT(B1,3),Holidays!$M$4:$N$15,2,0)&amp;"-1")</f>
        <v>45658</v>
      </c>
      <c r="E3" s="68">
        <f>DATE(YEAR(D3),MONTH(D3),DAY(D3)+1)</f>
        <v>45659</v>
      </c>
      <c r="F3" s="68">
        <f>DATE(YEAR(E3),MONTH(E3),DAY(E3)+1)</f>
        <v>45660</v>
      </c>
      <c r="G3" s="68">
        <f>DATE(YEAR(F3),MONTH(F3),DAY(F3)+1)</f>
        <v>45661</v>
      </c>
      <c r="H3" s="68">
        <f t="shared" ref="H3:AH3" si="1">DATE(YEAR(G3),MONTH(G3),DAY(G3)+1)</f>
        <v>45662</v>
      </c>
      <c r="I3" s="68">
        <f t="shared" si="1"/>
        <v>45663</v>
      </c>
      <c r="J3" s="68">
        <f t="shared" si="1"/>
        <v>45664</v>
      </c>
      <c r="K3" s="68">
        <f t="shared" si="1"/>
        <v>45665</v>
      </c>
      <c r="L3" s="68">
        <f t="shared" si="1"/>
        <v>45666</v>
      </c>
      <c r="M3" s="68">
        <f t="shared" si="1"/>
        <v>45667</v>
      </c>
      <c r="N3" s="68">
        <f t="shared" si="1"/>
        <v>45668</v>
      </c>
      <c r="O3" s="68">
        <f t="shared" si="1"/>
        <v>45669</v>
      </c>
      <c r="P3" s="68">
        <f t="shared" si="1"/>
        <v>45670</v>
      </c>
      <c r="Q3" s="68">
        <f t="shared" si="1"/>
        <v>45671</v>
      </c>
      <c r="R3" s="68">
        <f t="shared" si="1"/>
        <v>45672</v>
      </c>
      <c r="S3" s="68">
        <f t="shared" si="1"/>
        <v>45673</v>
      </c>
      <c r="T3" s="68">
        <f t="shared" si="1"/>
        <v>45674</v>
      </c>
      <c r="U3" s="68">
        <f t="shared" si="1"/>
        <v>45675</v>
      </c>
      <c r="V3" s="68">
        <f t="shared" si="1"/>
        <v>45676</v>
      </c>
      <c r="W3" s="68">
        <f t="shared" si="1"/>
        <v>45677</v>
      </c>
      <c r="X3" s="68">
        <f t="shared" si="1"/>
        <v>45678</v>
      </c>
      <c r="Y3" s="68">
        <f t="shared" si="1"/>
        <v>45679</v>
      </c>
      <c r="Z3" s="68">
        <f t="shared" si="1"/>
        <v>45680</v>
      </c>
      <c r="AA3" s="68">
        <f t="shared" si="1"/>
        <v>45681</v>
      </c>
      <c r="AB3" s="68">
        <f t="shared" si="1"/>
        <v>45682</v>
      </c>
      <c r="AC3" s="68">
        <f t="shared" si="1"/>
        <v>45683</v>
      </c>
      <c r="AD3" s="68">
        <f t="shared" si="1"/>
        <v>45684</v>
      </c>
      <c r="AE3" s="68">
        <f t="shared" si="1"/>
        <v>45685</v>
      </c>
      <c r="AF3" s="68">
        <f t="shared" si="1"/>
        <v>45686</v>
      </c>
      <c r="AG3" s="68">
        <f t="shared" si="1"/>
        <v>45687</v>
      </c>
      <c r="AH3" s="68">
        <f t="shared" si="1"/>
        <v>45688</v>
      </c>
      <c r="AI3" s="154" t="s">
        <v>38</v>
      </c>
      <c r="AJ3" s="154" t="s">
        <v>39</v>
      </c>
      <c r="AK3" s="154" t="s">
        <v>40</v>
      </c>
      <c r="AL3" s="163" t="s">
        <v>41</v>
      </c>
    </row>
    <row r="4" spans="2:38" ht="17.149999999999999" customHeight="1" x14ac:dyDescent="0.35">
      <c r="B4" s="297" t="str">
        <f>IFERROR(Project.01&amp;" "&amp;WP.01&amp;" "&amp;Contract.01&amp;" "&amp;Type.01&amp;" "&amp;Activity.01," ")</f>
        <v xml:space="preserve">    </v>
      </c>
      <c r="C4" s="297"/>
      <c r="D4" s="69"/>
      <c r="E4" s="69">
        <v>8</v>
      </c>
      <c r="F4" s="69">
        <v>4</v>
      </c>
      <c r="G4" s="69">
        <v>3</v>
      </c>
      <c r="H4" s="69">
        <v>4</v>
      </c>
      <c r="I4" s="69"/>
      <c r="J4" s="69"/>
      <c r="K4" s="69"/>
      <c r="L4" s="69">
        <v>6</v>
      </c>
      <c r="M4" s="69">
        <v>4</v>
      </c>
      <c r="N4" s="69">
        <v>5</v>
      </c>
      <c r="O4" s="69">
        <v>6</v>
      </c>
      <c r="P4" s="69">
        <v>9</v>
      </c>
      <c r="Q4" s="69"/>
      <c r="R4" s="69"/>
      <c r="S4" s="69">
        <v>2</v>
      </c>
      <c r="T4" s="69">
        <v>1.5</v>
      </c>
      <c r="U4" s="69">
        <v>3</v>
      </c>
      <c r="V4" s="69">
        <v>1</v>
      </c>
      <c r="W4" s="69">
        <v>2</v>
      </c>
      <c r="X4" s="69"/>
      <c r="Y4" s="69"/>
      <c r="Z4" s="69">
        <v>5.5</v>
      </c>
      <c r="AA4" s="69">
        <v>9</v>
      </c>
      <c r="AB4" s="69">
        <v>7.5</v>
      </c>
      <c r="AC4" s="69">
        <v>5</v>
      </c>
      <c r="AD4" s="69">
        <v>2</v>
      </c>
      <c r="AE4" s="69"/>
      <c r="AF4" s="69"/>
      <c r="AG4" s="69">
        <v>8.5</v>
      </c>
      <c r="AH4" s="69"/>
      <c r="AI4" s="70">
        <f>SUM(D4:AH4)</f>
        <v>96</v>
      </c>
      <c r="AJ4" s="160">
        <f>JanTot.01/8</f>
        <v>0</v>
      </c>
      <c r="AK4" s="88">
        <f>IFERROR(AI4/164,"")</f>
        <v>0.58536585365853655</v>
      </c>
      <c r="AL4" s="133" t="s">
        <v>42</v>
      </c>
    </row>
    <row r="5" spans="2:38" ht="17.149999999999999" customHeight="1" x14ac:dyDescent="0.35">
      <c r="B5" s="296" t="str">
        <f>IFERROR(Project.02&amp;" "&amp;WP.02&amp;" "&amp;Contract.02&amp;" "&amp;Type.02&amp;" "&amp;Activity.02," ")</f>
        <v xml:space="preserve">    </v>
      </c>
      <c r="C5" s="296"/>
      <c r="D5" s="69"/>
      <c r="E5" s="69"/>
      <c r="F5" s="69"/>
      <c r="G5" s="69">
        <v>5.5</v>
      </c>
      <c r="H5" s="69"/>
      <c r="I5" s="69"/>
      <c r="J5" s="69"/>
      <c r="K5" s="69"/>
      <c r="L5" s="69">
        <v>2</v>
      </c>
      <c r="M5" s="69">
        <v>5</v>
      </c>
      <c r="N5" s="69">
        <v>3</v>
      </c>
      <c r="O5" s="69">
        <v>2</v>
      </c>
      <c r="P5" s="69"/>
      <c r="Q5" s="69"/>
      <c r="R5" s="69"/>
      <c r="S5" s="69">
        <v>7</v>
      </c>
      <c r="T5" s="69">
        <v>6</v>
      </c>
      <c r="U5" s="69">
        <v>5</v>
      </c>
      <c r="V5" s="69">
        <v>8</v>
      </c>
      <c r="W5" s="69">
        <v>6</v>
      </c>
      <c r="X5" s="69"/>
      <c r="Y5" s="69"/>
      <c r="Z5" s="69">
        <v>2.5</v>
      </c>
      <c r="AA5" s="69"/>
      <c r="AB5" s="69"/>
      <c r="AC5" s="69">
        <v>3</v>
      </c>
      <c r="AD5" s="69">
        <v>7</v>
      </c>
      <c r="AE5" s="69"/>
      <c r="AF5" s="69"/>
      <c r="AG5" s="69"/>
      <c r="AH5" s="69"/>
      <c r="AI5" s="70">
        <f>SUM(D5:AH5)</f>
        <v>62</v>
      </c>
      <c r="AJ5" s="160">
        <f>JanTot.02/8</f>
        <v>0</v>
      </c>
      <c r="AK5" s="88">
        <f t="shared" ref="AK5:AK23" si="2">IFERROR(AI5/164,"")</f>
        <v>0.37804878048780488</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SUM(D6:AH6)</f>
        <v>0</v>
      </c>
      <c r="AJ6" s="160">
        <f>JanTot.03/8</f>
        <v>0</v>
      </c>
      <c r="AK6" s="88">
        <f t="shared" si="2"/>
        <v>0</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ref="AI7:AI24" si="3">SUM(D7:AH7)</f>
        <v>0</v>
      </c>
      <c r="AJ7" s="160">
        <f>JanTot.04/8</f>
        <v>0</v>
      </c>
      <c r="AK7" s="88">
        <f t="shared" si="2"/>
        <v>0</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3"/>
        <v>0</v>
      </c>
      <c r="AJ8" s="160">
        <f>JanTot.05/8</f>
        <v>0</v>
      </c>
      <c r="AK8" s="88">
        <f t="shared" si="2"/>
        <v>0</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3"/>
        <v>0</v>
      </c>
      <c r="AJ9" s="160">
        <f>JanTot.06/8</f>
        <v>0</v>
      </c>
      <c r="AK9" s="88">
        <f t="shared" si="2"/>
        <v>0</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3"/>
        <v>0</v>
      </c>
      <c r="AJ10" s="160">
        <f>JanTot.07/8</f>
        <v>0</v>
      </c>
      <c r="AK10" s="88">
        <f t="shared" si="2"/>
        <v>0</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3"/>
        <v>0</v>
      </c>
      <c r="AJ11" s="160">
        <f>JanTot.08/8</f>
        <v>0</v>
      </c>
      <c r="AK11" s="88">
        <f t="shared" si="2"/>
        <v>0</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3"/>
        <v>0</v>
      </c>
      <c r="AJ12" s="160">
        <f>JanTot.09/8</f>
        <v>0</v>
      </c>
      <c r="AK12" s="88">
        <f t="shared" si="2"/>
        <v>0</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3"/>
        <v>0</v>
      </c>
      <c r="AJ13" s="160">
        <f>JanTot.10/8</f>
        <v>0</v>
      </c>
      <c r="AK13" s="88">
        <f t="shared" si="2"/>
        <v>0</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3"/>
        <v>0</v>
      </c>
      <c r="AJ14" s="160">
        <f>JanTot.11/8</f>
        <v>0</v>
      </c>
      <c r="AK14" s="88">
        <f t="shared" si="2"/>
        <v>0</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3"/>
        <v>0</v>
      </c>
      <c r="AJ15" s="160">
        <f>JanTot.12/8</f>
        <v>0</v>
      </c>
      <c r="AK15" s="88">
        <f t="shared" si="2"/>
        <v>0</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3"/>
        <v>0</v>
      </c>
      <c r="AJ16" s="160">
        <f>JanTot.13/8</f>
        <v>0</v>
      </c>
      <c r="AK16" s="88">
        <f t="shared" si="2"/>
        <v>0</v>
      </c>
      <c r="AL16" s="133"/>
    </row>
    <row r="17" spans="2:39"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3"/>
        <v>0</v>
      </c>
      <c r="AJ17" s="160">
        <f>JanTot.14/8</f>
        <v>0</v>
      </c>
      <c r="AK17" s="88">
        <f t="shared" si="2"/>
        <v>0</v>
      </c>
      <c r="AL17" s="133"/>
    </row>
    <row r="18" spans="2:39"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si="3"/>
        <v>0</v>
      </c>
      <c r="AJ18" s="160">
        <f>JanTot.15/8</f>
        <v>0</v>
      </c>
      <c r="AK18" s="88">
        <f t="shared" si="2"/>
        <v>0</v>
      </c>
      <c r="AL18" s="133"/>
    </row>
    <row r="19" spans="2:39"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3"/>
        <v>0</v>
      </c>
      <c r="AJ19" s="160">
        <f>JanTot.16/8</f>
        <v>0</v>
      </c>
      <c r="AK19" s="88">
        <f t="shared" si="2"/>
        <v>0</v>
      </c>
      <c r="AL19" s="133"/>
    </row>
    <row r="20" spans="2:39"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3"/>
        <v>0</v>
      </c>
      <c r="AJ20" s="160">
        <f>JanTot.17/8</f>
        <v>0</v>
      </c>
      <c r="AK20" s="88">
        <f t="shared" si="2"/>
        <v>0</v>
      </c>
      <c r="AL20" s="133"/>
    </row>
    <row r="21" spans="2:39"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3"/>
        <v>0</v>
      </c>
      <c r="AJ21" s="160">
        <f>JanTot.18/8</f>
        <v>0</v>
      </c>
      <c r="AK21" s="88">
        <f t="shared" si="2"/>
        <v>0</v>
      </c>
      <c r="AL21" s="133"/>
    </row>
    <row r="22" spans="2:39"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3"/>
        <v>0</v>
      </c>
      <c r="AJ22" s="160">
        <f>JanTot.19/8</f>
        <v>0</v>
      </c>
      <c r="AK22" s="88">
        <f t="shared" si="2"/>
        <v>0</v>
      </c>
      <c r="AL22" s="133"/>
    </row>
    <row r="23" spans="2:39"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3"/>
        <v>0</v>
      </c>
      <c r="AJ23" s="160">
        <f>JanTot.20/8</f>
        <v>0</v>
      </c>
      <c r="AK23" s="88">
        <f t="shared" si="2"/>
        <v>0</v>
      </c>
      <c r="AL23" s="133"/>
    </row>
    <row r="24" spans="2:39" ht="18.75" customHeight="1" x14ac:dyDescent="0.35">
      <c r="B24" s="158" t="s">
        <v>43</v>
      </c>
      <c r="C24" s="159"/>
      <c r="D24" s="155"/>
      <c r="E24" s="155"/>
      <c r="F24" s="155">
        <v>4</v>
      </c>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v>8</v>
      </c>
      <c r="AI24" s="156">
        <f t="shared" si="3"/>
        <v>12</v>
      </c>
      <c r="AJ24" s="161">
        <f>AI24/8</f>
        <v>1.5</v>
      </c>
      <c r="AK24" s="157">
        <f>IFERROR(AI24/164,"")</f>
        <v>7.3170731707317069E-2</v>
      </c>
      <c r="AL24" s="133" t="s">
        <v>44</v>
      </c>
    </row>
    <row r="25" spans="2:39" ht="17.149999999999999" customHeight="1" x14ac:dyDescent="0.35">
      <c r="B25" s="65" t="s">
        <v>45</v>
      </c>
      <c r="C25" s="64"/>
      <c r="D25" s="71">
        <f>D26</f>
        <v>0</v>
      </c>
      <c r="E25" s="71">
        <f t="shared" ref="E25:AH25" si="4">E26</f>
        <v>8</v>
      </c>
      <c r="F25" s="71">
        <f t="shared" si="4"/>
        <v>4</v>
      </c>
      <c r="G25" s="71">
        <f t="shared" si="4"/>
        <v>8.5</v>
      </c>
      <c r="H25" s="71">
        <f t="shared" si="4"/>
        <v>4</v>
      </c>
      <c r="I25" s="71">
        <f t="shared" si="4"/>
        <v>0</v>
      </c>
      <c r="J25" s="71">
        <f t="shared" si="4"/>
        <v>0</v>
      </c>
      <c r="K25" s="71">
        <f t="shared" si="4"/>
        <v>0</v>
      </c>
      <c r="L25" s="71">
        <f t="shared" si="4"/>
        <v>8</v>
      </c>
      <c r="M25" s="71">
        <f t="shared" si="4"/>
        <v>9</v>
      </c>
      <c r="N25" s="71">
        <f t="shared" si="4"/>
        <v>8</v>
      </c>
      <c r="O25" s="71">
        <f t="shared" si="4"/>
        <v>8</v>
      </c>
      <c r="P25" s="71">
        <f t="shared" si="4"/>
        <v>9</v>
      </c>
      <c r="Q25" s="71">
        <f t="shared" si="4"/>
        <v>0</v>
      </c>
      <c r="R25" s="71">
        <f t="shared" si="4"/>
        <v>0</v>
      </c>
      <c r="S25" s="71">
        <f t="shared" si="4"/>
        <v>9</v>
      </c>
      <c r="T25" s="71">
        <f t="shared" si="4"/>
        <v>7.5</v>
      </c>
      <c r="U25" s="71">
        <f t="shared" si="4"/>
        <v>8</v>
      </c>
      <c r="V25" s="71">
        <f t="shared" si="4"/>
        <v>9</v>
      </c>
      <c r="W25" s="71">
        <f t="shared" si="4"/>
        <v>8</v>
      </c>
      <c r="X25" s="71">
        <f t="shared" si="4"/>
        <v>0</v>
      </c>
      <c r="Y25" s="71">
        <f t="shared" si="4"/>
        <v>0</v>
      </c>
      <c r="Z25" s="71">
        <f t="shared" si="4"/>
        <v>8</v>
      </c>
      <c r="AA25" s="71">
        <f t="shared" si="4"/>
        <v>9</v>
      </c>
      <c r="AB25" s="71">
        <f t="shared" si="4"/>
        <v>7.5</v>
      </c>
      <c r="AC25" s="71">
        <f t="shared" si="4"/>
        <v>8</v>
      </c>
      <c r="AD25" s="71">
        <f t="shared" si="4"/>
        <v>9</v>
      </c>
      <c r="AE25" s="71">
        <f t="shared" si="4"/>
        <v>0</v>
      </c>
      <c r="AF25" s="71">
        <f t="shared" si="4"/>
        <v>0</v>
      </c>
      <c r="AG25" s="71">
        <f t="shared" si="4"/>
        <v>8.5</v>
      </c>
      <c r="AH25" s="71">
        <f t="shared" si="4"/>
        <v>0</v>
      </c>
      <c r="AI25" s="72"/>
      <c r="AJ25" s="72"/>
      <c r="AK25" s="64"/>
    </row>
    <row r="26" spans="2:39" ht="17.149999999999999" customHeight="1" x14ac:dyDescent="0.35">
      <c r="B26" s="302" t="s">
        <v>46</v>
      </c>
      <c r="C26" s="303"/>
      <c r="D26" s="73"/>
      <c r="E26" s="73">
        <f t="shared" ref="E26:AG26" si="5">SUM(E4:E23)</f>
        <v>8</v>
      </c>
      <c r="F26" s="73">
        <f t="shared" si="5"/>
        <v>4</v>
      </c>
      <c r="G26" s="73">
        <f t="shared" si="5"/>
        <v>8.5</v>
      </c>
      <c r="H26" s="73">
        <f t="shared" si="5"/>
        <v>4</v>
      </c>
      <c r="I26" s="73"/>
      <c r="J26" s="73"/>
      <c r="K26" s="73"/>
      <c r="L26" s="73">
        <f t="shared" si="5"/>
        <v>8</v>
      </c>
      <c r="M26" s="73">
        <f t="shared" si="5"/>
        <v>9</v>
      </c>
      <c r="N26" s="73">
        <f t="shared" si="5"/>
        <v>8</v>
      </c>
      <c r="O26" s="73">
        <f t="shared" si="5"/>
        <v>8</v>
      </c>
      <c r="P26" s="73">
        <f t="shared" si="5"/>
        <v>9</v>
      </c>
      <c r="Q26" s="73"/>
      <c r="R26" s="73"/>
      <c r="S26" s="73">
        <f t="shared" si="5"/>
        <v>9</v>
      </c>
      <c r="T26" s="73">
        <f t="shared" si="5"/>
        <v>7.5</v>
      </c>
      <c r="U26" s="73">
        <f t="shared" si="5"/>
        <v>8</v>
      </c>
      <c r="V26" s="73">
        <f t="shared" si="5"/>
        <v>9</v>
      </c>
      <c r="W26" s="73">
        <f t="shared" si="5"/>
        <v>8</v>
      </c>
      <c r="X26" s="73"/>
      <c r="Y26" s="73"/>
      <c r="Z26" s="73">
        <f t="shared" si="5"/>
        <v>8</v>
      </c>
      <c r="AA26" s="73">
        <f t="shared" si="5"/>
        <v>9</v>
      </c>
      <c r="AB26" s="73">
        <f t="shared" si="5"/>
        <v>7.5</v>
      </c>
      <c r="AC26" s="73">
        <f t="shared" si="5"/>
        <v>8</v>
      </c>
      <c r="AD26" s="73">
        <f t="shared" si="5"/>
        <v>9</v>
      </c>
      <c r="AE26" s="73"/>
      <c r="AF26" s="73"/>
      <c r="AG26" s="73">
        <f t="shared" si="5"/>
        <v>8.5</v>
      </c>
      <c r="AH26" s="73"/>
      <c r="AI26" s="74">
        <f>SUM(D26:AH26)</f>
        <v>158</v>
      </c>
      <c r="AJ26" s="162">
        <f>AI26/8</f>
        <v>19.75</v>
      </c>
      <c r="AM26" s="132"/>
    </row>
    <row r="27" spans="2:39"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c r="AM27" s="132"/>
    </row>
    <row r="28" spans="2:39" ht="17.149999999999999" customHeight="1" x14ac:dyDescent="0.35">
      <c r="B28" s="302" t="s">
        <v>47</v>
      </c>
      <c r="C28" s="303"/>
      <c r="D28" s="73"/>
      <c r="E28" s="73">
        <f t="shared" ref="E28:AH28" si="6">SUM(E4:E24)</f>
        <v>8</v>
      </c>
      <c r="F28" s="73">
        <f t="shared" si="6"/>
        <v>8</v>
      </c>
      <c r="G28" s="73">
        <f t="shared" si="6"/>
        <v>8.5</v>
      </c>
      <c r="H28" s="73">
        <f t="shared" si="6"/>
        <v>4</v>
      </c>
      <c r="I28" s="73"/>
      <c r="J28" s="73"/>
      <c r="K28" s="73"/>
      <c r="L28" s="73">
        <f t="shared" si="6"/>
        <v>8</v>
      </c>
      <c r="M28" s="73">
        <f t="shared" si="6"/>
        <v>9</v>
      </c>
      <c r="N28" s="73">
        <f t="shared" si="6"/>
        <v>8</v>
      </c>
      <c r="O28" s="73">
        <f t="shared" si="6"/>
        <v>8</v>
      </c>
      <c r="P28" s="73">
        <f t="shared" si="6"/>
        <v>9</v>
      </c>
      <c r="Q28" s="73"/>
      <c r="R28" s="73"/>
      <c r="S28" s="73">
        <f t="shared" si="6"/>
        <v>9</v>
      </c>
      <c r="T28" s="73">
        <f t="shared" si="6"/>
        <v>7.5</v>
      </c>
      <c r="U28" s="73">
        <f t="shared" si="6"/>
        <v>8</v>
      </c>
      <c r="V28" s="73">
        <f t="shared" si="6"/>
        <v>9</v>
      </c>
      <c r="W28" s="73">
        <f t="shared" si="6"/>
        <v>8</v>
      </c>
      <c r="X28" s="73"/>
      <c r="Y28" s="73"/>
      <c r="Z28" s="73">
        <f t="shared" si="6"/>
        <v>8</v>
      </c>
      <c r="AA28" s="73">
        <f t="shared" si="6"/>
        <v>9</v>
      </c>
      <c r="AB28" s="73">
        <f t="shared" si="6"/>
        <v>7.5</v>
      </c>
      <c r="AC28" s="73">
        <f t="shared" si="6"/>
        <v>8</v>
      </c>
      <c r="AD28" s="73">
        <f t="shared" si="6"/>
        <v>9</v>
      </c>
      <c r="AE28" s="73"/>
      <c r="AF28" s="73"/>
      <c r="AG28" s="73">
        <f t="shared" si="6"/>
        <v>8.5</v>
      </c>
      <c r="AH28" s="73">
        <f t="shared" si="6"/>
        <v>8</v>
      </c>
      <c r="AI28" s="74">
        <f>SUM(D28:AH28)</f>
        <v>170</v>
      </c>
      <c r="AJ28" s="162">
        <f>AI28/8</f>
        <v>21.25</v>
      </c>
    </row>
    <row r="29" spans="2:39"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row>
    <row r="30" spans="2:39" ht="15.5" x14ac:dyDescent="0.35">
      <c r="B30" s="80" t="s">
        <v>48</v>
      </c>
      <c r="C30" s="6"/>
      <c r="D30" s="81" t="s">
        <v>49</v>
      </c>
      <c r="E30" s="6"/>
      <c r="F30" s="11"/>
      <c r="G30" s="48"/>
      <c r="H30" s="11"/>
      <c r="I30" s="60"/>
      <c r="J30" s="11"/>
      <c r="K30" s="11"/>
      <c r="O30" s="11"/>
      <c r="P30" s="11"/>
      <c r="Q30" s="304" t="e">
        <f>'Start page'!#REF!</f>
        <v>#REF!</v>
      </c>
      <c r="R30" s="304"/>
      <c r="S30" s="304"/>
      <c r="T30" s="304"/>
      <c r="U30" s="304"/>
      <c r="V30" s="304"/>
      <c r="W30" s="304"/>
      <c r="X30" s="304"/>
      <c r="Y30" s="304"/>
      <c r="Z30" s="304"/>
      <c r="AA30" s="304"/>
      <c r="AB30" s="304"/>
      <c r="AC30" s="304"/>
      <c r="AD30" s="304"/>
      <c r="AE30" s="304"/>
      <c r="AF30" s="304"/>
      <c r="AG30" s="304"/>
      <c r="AH30" s="304"/>
      <c r="AI30" s="304"/>
      <c r="AJ30" s="130"/>
      <c r="AK30" s="298" t="s">
        <v>50</v>
      </c>
      <c r="AL30" s="299"/>
    </row>
    <row r="31" spans="2:39" ht="15.5" x14ac:dyDescent="0.35">
      <c r="B31" s="82" t="s">
        <v>45</v>
      </c>
      <c r="C31" s="6"/>
      <c r="D31" s="6"/>
      <c r="E31" s="6"/>
      <c r="F31" s="11"/>
      <c r="G31" s="11"/>
      <c r="H31" s="11"/>
      <c r="I31" s="60"/>
      <c r="J31" s="11"/>
      <c r="K31" s="11"/>
      <c r="O31" s="11"/>
      <c r="P31" s="11"/>
      <c r="Q31" s="304"/>
      <c r="R31" s="304"/>
      <c r="S31" s="304"/>
      <c r="T31" s="304"/>
      <c r="U31" s="304"/>
      <c r="V31" s="304"/>
      <c r="W31" s="304"/>
      <c r="X31" s="304"/>
      <c r="Y31" s="304"/>
      <c r="Z31" s="304"/>
      <c r="AA31" s="304"/>
      <c r="AB31" s="304"/>
      <c r="AC31" s="304"/>
      <c r="AD31" s="304"/>
      <c r="AE31" s="304"/>
      <c r="AF31" s="304"/>
      <c r="AG31" s="304"/>
      <c r="AH31" s="304"/>
      <c r="AI31" s="304"/>
      <c r="AJ31" s="130"/>
      <c r="AK31" s="138">
        <v>1</v>
      </c>
      <c r="AL31" s="139" t="s">
        <v>51</v>
      </c>
    </row>
    <row r="32" spans="2:39" ht="15.5" x14ac:dyDescent="0.35">
      <c r="B32" s="83" t="s">
        <v>45</v>
      </c>
      <c r="C32" s="6"/>
      <c r="D32" s="84"/>
      <c r="E32" s="85"/>
      <c r="F32" s="51"/>
      <c r="G32" s="51"/>
      <c r="H32" s="51"/>
      <c r="I32" s="51"/>
      <c r="J32" s="51"/>
      <c r="K32" s="5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192">
        <f>Member</f>
        <v>0</v>
      </c>
      <c r="C33" s="6"/>
      <c r="D33" s="194">
        <f>Supervisor</f>
        <v>0</v>
      </c>
      <c r="E33" s="194"/>
      <c r="F33" s="195"/>
      <c r="G33" s="195"/>
      <c r="H33" s="195"/>
      <c r="I33" s="195"/>
      <c r="J33" s="11"/>
      <c r="K33" s="11"/>
      <c r="O33" s="11"/>
      <c r="P33" s="11"/>
      <c r="Q33" s="304" t="str">
        <f>'Start page'!D6</f>
        <v>• Missing information – Fill in all names and title/function on the Start Page</v>
      </c>
      <c r="R33" s="304"/>
      <c r="S33" s="304"/>
      <c r="T33" s="304"/>
      <c r="U33" s="304"/>
      <c r="V33" s="304"/>
      <c r="W33" s="304"/>
      <c r="X33" s="304"/>
      <c r="Y33" s="304"/>
      <c r="Z33" s="304"/>
      <c r="AA33" s="304"/>
      <c r="AB33" s="304"/>
      <c r="AC33" s="304"/>
      <c r="AD33" s="304"/>
      <c r="AE33" s="304"/>
      <c r="AF33" s="304"/>
      <c r="AG33" s="304"/>
      <c r="AH33" s="304"/>
      <c r="AI33" s="304"/>
      <c r="AJ33" s="130"/>
    </row>
    <row r="34" spans="2:38" ht="18.75" customHeight="1" x14ac:dyDescent="0.35">
      <c r="B34" s="193">
        <f>Title.member</f>
        <v>0</v>
      </c>
      <c r="C34" s="6"/>
      <c r="D34" s="194">
        <f>Title.supervisor</f>
        <v>0</v>
      </c>
      <c r="E34" s="194"/>
      <c r="F34" s="195"/>
      <c r="G34" s="196"/>
      <c r="H34" s="195"/>
      <c r="I34" s="195"/>
      <c r="J34" s="11"/>
      <c r="K34" s="11"/>
      <c r="O34" s="11"/>
      <c r="P34" s="11"/>
      <c r="S34" s="11"/>
      <c r="T34" s="11"/>
      <c r="U34" s="11"/>
      <c r="V34" s="11"/>
      <c r="W34" s="11"/>
      <c r="X34" s="50"/>
      <c r="Y34" s="50"/>
      <c r="Z34" s="50"/>
      <c r="AA34" s="50"/>
      <c r="AB34" s="61"/>
      <c r="AC34" s="61"/>
      <c r="AD34" s="49"/>
      <c r="AE34" s="62"/>
      <c r="AF34" s="62"/>
      <c r="AG34" s="62"/>
      <c r="AH34" s="62"/>
      <c r="AI34" s="11"/>
      <c r="AJ34" s="11"/>
      <c r="AK34" s="52"/>
    </row>
    <row r="35" spans="2:38" ht="18.75" customHeight="1" x14ac:dyDescent="0.35">
      <c r="B35" s="193">
        <f>'Start page'!J4</f>
        <v>0</v>
      </c>
      <c r="C35" s="6"/>
      <c r="D35" s="194">
        <f>'Start page'!J5</f>
        <v>0</v>
      </c>
      <c r="E35" s="194"/>
      <c r="F35" s="195"/>
      <c r="G35" s="196"/>
      <c r="H35" s="195"/>
      <c r="I35" s="195"/>
      <c r="J35" s="11"/>
      <c r="K35" s="11"/>
      <c r="O35" s="11"/>
      <c r="P35" s="11"/>
      <c r="S35" s="11"/>
      <c r="T35" s="11"/>
      <c r="U35" s="11"/>
      <c r="V35" s="11"/>
      <c r="W35" s="11"/>
      <c r="X35" s="50"/>
      <c r="Y35" s="50"/>
      <c r="Z35" s="50"/>
      <c r="AA35" s="50"/>
      <c r="AB35" s="61"/>
      <c r="AC35" s="61"/>
      <c r="AD35" s="49"/>
      <c r="AE35" s="62"/>
      <c r="AF35" s="62"/>
      <c r="AG35" s="62"/>
      <c r="AH35" s="62"/>
      <c r="AI35" s="11"/>
      <c r="AJ35" s="11"/>
      <c r="AK35" s="52"/>
    </row>
    <row r="36" spans="2:38" ht="24" customHeight="1" x14ac:dyDescent="0.35">
      <c r="B36" s="193" t="s">
        <v>53</v>
      </c>
      <c r="C36" s="6"/>
      <c r="D36" s="194" t="s">
        <v>54</v>
      </c>
      <c r="E36" s="194"/>
      <c r="F36" s="195"/>
      <c r="G36" s="196"/>
      <c r="H36" s="195"/>
      <c r="I36" s="195"/>
      <c r="J36" s="11"/>
      <c r="K36" s="11"/>
      <c r="O36" s="11"/>
      <c r="P36" s="11"/>
      <c r="Q36" s="311" t="s">
        <v>55</v>
      </c>
      <c r="R36" s="311"/>
      <c r="S36" s="311"/>
      <c r="T36" s="311"/>
      <c r="U36" s="311"/>
      <c r="V36" s="311"/>
      <c r="W36" s="311"/>
      <c r="X36" s="311"/>
      <c r="Y36" s="311"/>
      <c r="Z36" s="311"/>
      <c r="AC36" s="311" t="s">
        <v>56</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O39" s="11"/>
      <c r="P39" s="11"/>
      <c r="AJ39" s="11"/>
      <c r="AK39" s="11"/>
    </row>
    <row r="40" spans="2:38" x14ac:dyDescent="0.35">
      <c r="B40" s="9" t="s">
        <v>45</v>
      </c>
      <c r="C40" s="9">
        <f>ROW()</f>
        <v>40</v>
      </c>
      <c r="AC40" s="305"/>
      <c r="AD40" s="306"/>
      <c r="AE40" s="306"/>
      <c r="AF40" s="306"/>
      <c r="AG40" s="306"/>
      <c r="AH40" s="306"/>
    </row>
    <row r="41" spans="2:38" ht="15" customHeight="1" x14ac:dyDescent="0.35">
      <c r="AC41" s="307"/>
      <c r="AD41" s="308"/>
      <c r="AE41" s="308"/>
      <c r="AF41" s="308"/>
      <c r="AG41" s="308"/>
      <c r="AH41" s="308"/>
    </row>
    <row r="42" spans="2:38" ht="15" customHeight="1" x14ac:dyDescent="0.35">
      <c r="AC42" s="307"/>
      <c r="AD42" s="308"/>
      <c r="AE42" s="308"/>
      <c r="AF42" s="308"/>
      <c r="AG42" s="308"/>
      <c r="AH42" s="308"/>
    </row>
    <row r="43" spans="2:38" ht="15" customHeight="1" x14ac:dyDescent="0.35">
      <c r="AC43" s="307"/>
      <c r="AD43" s="308"/>
      <c r="AE43" s="308"/>
      <c r="AF43" s="308"/>
      <c r="AG43" s="308"/>
      <c r="AH43" s="308"/>
    </row>
    <row r="44" spans="2:38" ht="15" customHeight="1" x14ac:dyDescent="0.35"/>
    <row r="45" spans="2:38" ht="15" customHeight="1" x14ac:dyDescent="0.35"/>
    <row r="46" spans="2:38" ht="14.5" customHeight="1" x14ac:dyDescent="0.35"/>
    <row r="47" spans="2:38" ht="25.4" customHeight="1" x14ac:dyDescent="0.35"/>
    <row r="48" spans="2:3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sheetData>
  <mergeCells count="35">
    <mergeCell ref="AC40:AH40"/>
    <mergeCell ref="AC41:AH41"/>
    <mergeCell ref="AC42:AH42"/>
    <mergeCell ref="AC43:AH43"/>
    <mergeCell ref="Q31:AI31"/>
    <mergeCell ref="X32:AA32"/>
    <mergeCell ref="AB32:AC32"/>
    <mergeCell ref="AE32:AH32"/>
    <mergeCell ref="Q33:AI33"/>
    <mergeCell ref="Q36:Z38"/>
    <mergeCell ref="AC36:AL38"/>
    <mergeCell ref="AK30:AL30"/>
    <mergeCell ref="B16:C16"/>
    <mergeCell ref="B17:C17"/>
    <mergeCell ref="B18:C18"/>
    <mergeCell ref="B19:C19"/>
    <mergeCell ref="B20:C20"/>
    <mergeCell ref="B21:C21"/>
    <mergeCell ref="B22:C22"/>
    <mergeCell ref="B23:C23"/>
    <mergeCell ref="B26:C26"/>
    <mergeCell ref="B28:C28"/>
    <mergeCell ref="Q30:AI30"/>
    <mergeCell ref="B15:C15"/>
    <mergeCell ref="B4:C4"/>
    <mergeCell ref="B5:C5"/>
    <mergeCell ref="B6:C6"/>
    <mergeCell ref="B7:C7"/>
    <mergeCell ref="B8:C8"/>
    <mergeCell ref="B9:C9"/>
    <mergeCell ref="B10:C10"/>
    <mergeCell ref="B11:C11"/>
    <mergeCell ref="B12:C12"/>
    <mergeCell ref="B13:C13"/>
    <mergeCell ref="B14:C14"/>
  </mergeCells>
  <conditionalFormatting sqref="B4:C23">
    <cfRule type="cellIs" dxfId="340" priority="1" operator="greaterThan">
      <formula>"""blank"""</formula>
    </cfRule>
    <cfRule type="containsText" dxfId="339" priority="2" operator="containsText" text="Erasmus+">
      <formula>NOT(ISERROR(SEARCH("Erasmus+",B4)))</formula>
    </cfRule>
    <cfRule type="containsText" dxfId="337" priority="4" operator="containsText" text="Other US">
      <formula>NOT(ISERROR(SEARCH("Other US",B4)))</formula>
    </cfRule>
    <cfRule type="containsText" dxfId="336" priority="5" operator="containsText" text="US Army">
      <formula>NOT(ISERROR(SEARCH("US Army",B4)))</formula>
    </cfRule>
    <cfRule type="containsText" dxfId="334" priority="7" operator="containsText" text="NIH">
      <formula>NOT(ISERROR(SEARCH("NIH",B4)))</formula>
    </cfRule>
    <cfRule type="containsText" dxfId="333" priority="8" operator="containsText" text="FP7">
      <formula>NOT(ISERROR(SEARCH("FP7",B4)))</formula>
    </cfRule>
    <cfRule type="containsText" dxfId="332" priority="9" operator="containsText" text="H2020">
      <formula>NOT(ISERROR(SEARCH("H2020",B4)))</formula>
    </cfRule>
    <cfRule type="containsText" dxfId="331" priority="10" operator="containsText" text="Sida">
      <formula>NOT(ISERROR(SEARCH("Sida",B4)))</formula>
    </cfRule>
    <cfRule type="containsText" dxfId="330" priority="11" operator="containsText" text="Other">
      <formula>NOT(ISERROR(SEARCH("Other",B4)))</formula>
    </cfRule>
  </conditionalFormatting>
  <conditionalFormatting sqref="D3:AH3">
    <cfRule type="expression" dxfId="329" priority="49">
      <formula>OR(WEEKDAY(D3,2)=6,WEEKDAY(D3,2)=7)</formula>
    </cfRule>
    <cfRule type="expression" dxfId="328" priority="50">
      <formula>INDEX(INDIRECT("Shortened[WorkHours]"),MATCH(D3,INDIRECT("Shortened[DateInYear]"),0),0)&gt;7</formula>
    </cfRule>
    <cfRule type="expression" dxfId="327" priority="51">
      <formula>INDEX(INDIRECT("Clamp[WorkHours]"),MATCH(D3,INDIRECT("Clamp[DateInYear]"),0),0)&gt;7</formula>
    </cfRule>
    <cfRule type="expression" dxfId="326" priority="52">
      <formula>AND(INDEX(INDIRECT("Clamp[WorkHours]"),MATCH(C3,INDIRECT("Clamp[DateInYear]"),0),0)&gt;0,INDEX(INDIRECT("Clamp[WorkHours]"),MATCH(C3,INDIRECT("Clamp[DateInYear]"),0),0)&lt;8)</formula>
    </cfRule>
    <cfRule type="expression" dxfId="325" priority="53">
      <formula>AND(INDEX(INDIRECT("Shortened[WorkHours]"),MATCH(D3,INDIRECT("Shortened[DateInYear]"),0),0)&gt;0,INDEX(INDIRECT("Shortened[WorkHours]"),MATCH(D3,INDIRECT("Shortened[DateInYear]"),0),0)&lt;8)</formula>
    </cfRule>
    <cfRule type="expression" dxfId="324" priority="54">
      <formula>MATCH(D3,INDIRECT("Fixed_dates[DateInYear]"),0)&gt;0</formula>
    </cfRule>
    <cfRule type="expression" dxfId="323" priority="55">
      <formula>MATCH(D3,INDIRECT("Fixed_weekdays[DateInYear]"),0)&gt;0</formula>
    </cfRule>
  </conditionalFormatting>
  <conditionalFormatting sqref="D4:AH24">
    <cfRule type="expression" dxfId="322" priority="12">
      <formula>D$2</formula>
    </cfRule>
  </conditionalFormatting>
  <conditionalFormatting sqref="D25:AH25">
    <cfRule type="iconSet" priority="37">
      <iconSet iconSet="3Flags">
        <cfvo type="percent" val="0"/>
        <cfvo type="percent" val="33"/>
        <cfvo type="percent" val="67"/>
      </iconSet>
    </cfRule>
    <cfRule type="iconSet" priority="38">
      <iconSet iconSet="3Flags">
        <cfvo type="percent" val="0"/>
        <cfvo type="percent" val="33"/>
        <cfvo type="percent" val="67"/>
      </iconSet>
    </cfRule>
  </conditionalFormatting>
  <conditionalFormatting sqref="D26:AH26">
    <cfRule type="cellIs" dxfId="321" priority="35" operator="greaterThan">
      <formula>24</formula>
    </cfRule>
    <cfRule type="cellIs" dxfId="320" priority="39" operator="greaterThan">
      <formula>14</formula>
    </cfRule>
  </conditionalFormatting>
  <conditionalFormatting sqref="J24">
    <cfRule type="expression" dxfId="319" priority="13">
      <formula>J$2</formula>
    </cfRule>
  </conditionalFormatting>
  <conditionalFormatting sqref="AK30">
    <cfRule type="expression" dxfId="318" priority="34">
      <formula>AL$2</formula>
    </cfRule>
  </conditionalFormatting>
  <dataValidations count="1">
    <dataValidation type="decimal" allowBlank="1" showInputMessage="1" showErrorMessage="1" errorTitle="ERROR !" error="You may report min 0,5 and max 24 hrs per WP or Project_x000a_" sqref="D4:AH23" xr:uid="{3FA1BFF3-7783-4608-BED0-82E760017C17}">
      <formula1>0.5</formula1>
      <formula2>24</formula2>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3" operator="containsText" id="{EB5BD7A5-D5AC-45ED-9D63-BD608CB62A62}">
            <xm:f>NOT(ISERROR(SEARCH("HEU",B4)))</xm:f>
            <xm:f>"HEU"</xm:f>
            <x14:dxf>
              <fill>
                <patternFill>
                  <bgColor theme="8" tint="0.79998168889431442"/>
                </patternFill>
              </fill>
            </x14:dxf>
          </x14:cfRule>
          <x14:cfRule type="containsText" priority="6" operator="containsText" id="{0FD93F8B-462E-4548-BDEF-0245A610EEBB}">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36" id="{9F467F1A-349C-4F33-BAB3-210A8163A568}">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31" id="{2E3FEE11-89D0-4E07-8279-8C46388CA3F2}">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30" id="{B69179B8-2DD3-4599-9907-58144F3814A4}">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33" id="{746ED029-CDB7-42FB-A420-45EF0510CEF9}">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32" id="{0F8FD16A-459E-4981-BB67-F869BD470480}">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46539-2B9E-4E17-9AEA-981A03677EE3}">
  <dimension ref="A1"/>
  <sheetViews>
    <sheetView showGridLines="0" zoomScale="60" zoomScaleNormal="60" workbookViewId="0"/>
  </sheetViews>
  <sheetFormatPr defaultRowHeight="14.5" x14ac:dyDescent="0.35"/>
  <sheetData/>
  <sheetProtection algorithmName="SHA-512" hashValue="yd8bg84YcgluKsyZQUHF1lLus8+a5dIqyc9GCcE1K+OSSphNsymmNRSRd82W2p7l/WYTbV2RLyr7bxoIdlKR6w==" saltValue="O19F1b1MjFXo8LgeRZTETQ=="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5" tint="-0.249977111117893"/>
    <pageSetUpPr fitToPage="1"/>
  </sheetPr>
  <dimension ref="B1:AM166"/>
  <sheetViews>
    <sheetView showGridLines="0" showZeros="0" zoomScale="60" zoomScaleNormal="60" zoomScaleSheetLayoutView="55" zoomScalePageLayoutView="55" workbookViewId="0">
      <selection activeCell="E4" sqref="E4"/>
    </sheetView>
  </sheetViews>
  <sheetFormatPr defaultColWidth="9.1796875" defaultRowHeight="14.5" zeroHeight="1" x14ac:dyDescent="0.35"/>
  <cols>
    <col min="1" max="1" width="1.54296875" customWidth="1"/>
    <col min="2" max="2" width="40" customWidth="1"/>
    <col min="3" max="3" width="23.81640625" customWidth="1"/>
    <col min="4" max="6" width="5.81640625" customWidth="1"/>
    <col min="7" max="34" width="5.1796875" customWidth="1"/>
    <col min="35" max="36" width="8.1796875" customWidth="1"/>
    <col min="37" max="37" width="11.1796875" customWidth="1"/>
    <col min="38" max="38" width="29.54296875" customWidth="1"/>
    <col min="39" max="39" width="5.1796875" customWidth="1"/>
    <col min="40" max="40" width="26.1796875" customWidth="1"/>
    <col min="41" max="41" width="9.1796875" customWidth="1"/>
  </cols>
  <sheetData>
    <row r="1" spans="2:38" ht="21" x14ac:dyDescent="0.35">
      <c r="B1" s="75" t="s">
        <v>35</v>
      </c>
      <c r="C1" s="149">
        <v>2025</v>
      </c>
      <c r="D1" s="106"/>
      <c r="E1" s="106"/>
      <c r="F1" s="106"/>
      <c r="G1" s="106"/>
      <c r="H1" s="106"/>
      <c r="I1" s="106"/>
      <c r="J1" s="106"/>
      <c r="K1" s="106"/>
      <c r="L1" s="106"/>
      <c r="M1" s="76"/>
      <c r="N1" s="71"/>
      <c r="O1" s="71"/>
      <c r="P1" s="77" t="s">
        <v>36</v>
      </c>
      <c r="Q1" s="203">
        <f>Member</f>
        <v>0</v>
      </c>
      <c r="R1" s="204"/>
      <c r="S1" s="205"/>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0</v>
      </c>
      <c r="F2" s="41" t="b">
        <f t="shared" ca="1" si="0"/>
        <v>0</v>
      </c>
      <c r="G2" s="41" t="b">
        <f t="shared" ca="1" si="0"/>
        <v>1</v>
      </c>
      <c r="H2" s="41" t="b">
        <f t="shared" ca="1" si="0"/>
        <v>1</v>
      </c>
      <c r="I2" s="41" t="b">
        <f t="shared" ca="1" si="0"/>
        <v>1</v>
      </c>
      <c r="J2" s="41" t="b">
        <f t="shared" ca="1" si="0"/>
        <v>0</v>
      </c>
      <c r="K2" s="41" t="b">
        <f t="shared" ca="1" si="0"/>
        <v>0</v>
      </c>
      <c r="L2" s="41" t="b">
        <f t="shared" ca="1" si="0"/>
        <v>0</v>
      </c>
      <c r="M2" s="41" t="b">
        <f t="shared" ca="1" si="0"/>
        <v>0</v>
      </c>
      <c r="N2" s="41" t="b">
        <f t="shared" ca="1" si="0"/>
        <v>1</v>
      </c>
      <c r="O2" s="41" t="b">
        <f t="shared" ca="1" si="0"/>
        <v>1</v>
      </c>
      <c r="P2" s="41" t="b">
        <f t="shared" ca="1" si="0"/>
        <v>0</v>
      </c>
      <c r="Q2" s="41" t="b">
        <f t="shared" ca="1" si="0"/>
        <v>0</v>
      </c>
      <c r="R2" s="90" t="b">
        <f t="shared" ca="1" si="0"/>
        <v>0</v>
      </c>
      <c r="S2" s="41" t="b">
        <f t="shared" ca="1" si="0"/>
        <v>0</v>
      </c>
      <c r="T2" s="41" t="b">
        <f t="shared" ca="1" si="0"/>
        <v>0</v>
      </c>
      <c r="U2" s="41" t="b">
        <f t="shared" ca="1" si="0"/>
        <v>1</v>
      </c>
      <c r="V2" s="41" t="b">
        <f t="shared" ca="1" si="0"/>
        <v>1</v>
      </c>
      <c r="W2" s="41" t="b">
        <f t="shared" ca="1" si="0"/>
        <v>0</v>
      </c>
      <c r="X2" s="41" t="b">
        <f t="shared" ca="1" si="0"/>
        <v>0</v>
      </c>
      <c r="Y2" s="41" t="b">
        <f t="shared" ca="1" si="0"/>
        <v>0</v>
      </c>
      <c r="Z2" s="41" t="b">
        <f t="shared" ca="1" si="0"/>
        <v>0</v>
      </c>
      <c r="AA2" s="41" t="b">
        <f t="shared" ca="1" si="0"/>
        <v>0</v>
      </c>
      <c r="AB2" s="41" t="b">
        <f t="shared" ca="1" si="0"/>
        <v>1</v>
      </c>
      <c r="AC2" s="41" t="b">
        <f t="shared" ca="1" si="0"/>
        <v>1</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0</v>
      </c>
      <c r="AG2" s="41" t="b">
        <f t="shared" ca="1" si="0"/>
        <v>0</v>
      </c>
      <c r="AH2" s="41" t="b">
        <f t="shared" ca="1" si="0"/>
        <v>0</v>
      </c>
      <c r="AI2" s="79"/>
      <c r="AJ2" s="79"/>
      <c r="AK2" s="91"/>
    </row>
    <row r="3" spans="2:38" ht="51" customHeight="1" x14ac:dyDescent="0.35">
      <c r="B3" s="66" t="s">
        <v>37</v>
      </c>
      <c r="C3" s="67"/>
      <c r="D3" s="68">
        <f>DATEVALUE(AloxÅr&amp;"-"&amp;VLOOKUP(LEFT(B1,3),Holidays!$M$4:$N$15,2,0)&amp;"-1")</f>
        <v>45658</v>
      </c>
      <c r="E3" s="68">
        <f>DATE(YEAR(D3),MONTH(D3),DAY(D3)+1)</f>
        <v>45659</v>
      </c>
      <c r="F3" s="68">
        <f>DATE(YEAR(E3),MONTH(E3),DAY(E3)+1)</f>
        <v>45660</v>
      </c>
      <c r="G3" s="68">
        <f>DATE(YEAR(F3),MONTH(F3),DAY(F3)+1)</f>
        <v>45661</v>
      </c>
      <c r="H3" s="68">
        <f t="shared" ref="H3:AH3" si="1">DATE(YEAR(G3),MONTH(G3),DAY(G3)+1)</f>
        <v>45662</v>
      </c>
      <c r="I3" s="68">
        <f t="shared" si="1"/>
        <v>45663</v>
      </c>
      <c r="J3" s="68">
        <f t="shared" si="1"/>
        <v>45664</v>
      </c>
      <c r="K3" s="68">
        <f t="shared" si="1"/>
        <v>45665</v>
      </c>
      <c r="L3" s="68">
        <f t="shared" si="1"/>
        <v>45666</v>
      </c>
      <c r="M3" s="68">
        <f t="shared" si="1"/>
        <v>45667</v>
      </c>
      <c r="N3" s="68">
        <f t="shared" si="1"/>
        <v>45668</v>
      </c>
      <c r="O3" s="68">
        <f t="shared" si="1"/>
        <v>45669</v>
      </c>
      <c r="P3" s="68">
        <f t="shared" si="1"/>
        <v>45670</v>
      </c>
      <c r="Q3" s="68">
        <f t="shared" si="1"/>
        <v>45671</v>
      </c>
      <c r="R3" s="68">
        <f t="shared" si="1"/>
        <v>45672</v>
      </c>
      <c r="S3" s="68">
        <f t="shared" si="1"/>
        <v>45673</v>
      </c>
      <c r="T3" s="68">
        <f t="shared" si="1"/>
        <v>45674</v>
      </c>
      <c r="U3" s="68">
        <f t="shared" si="1"/>
        <v>45675</v>
      </c>
      <c r="V3" s="68">
        <f t="shared" si="1"/>
        <v>45676</v>
      </c>
      <c r="W3" s="68">
        <f t="shared" si="1"/>
        <v>45677</v>
      </c>
      <c r="X3" s="68">
        <f t="shared" si="1"/>
        <v>45678</v>
      </c>
      <c r="Y3" s="68">
        <f t="shared" si="1"/>
        <v>45679</v>
      </c>
      <c r="Z3" s="68">
        <f t="shared" si="1"/>
        <v>45680</v>
      </c>
      <c r="AA3" s="68">
        <f t="shared" si="1"/>
        <v>45681</v>
      </c>
      <c r="AB3" s="68">
        <f t="shared" si="1"/>
        <v>45682</v>
      </c>
      <c r="AC3" s="68">
        <f t="shared" si="1"/>
        <v>45683</v>
      </c>
      <c r="AD3" s="68">
        <f t="shared" si="1"/>
        <v>45684</v>
      </c>
      <c r="AE3" s="68">
        <f t="shared" si="1"/>
        <v>45685</v>
      </c>
      <c r="AF3" s="68">
        <f t="shared" si="1"/>
        <v>45686</v>
      </c>
      <c r="AG3" s="68">
        <f t="shared" si="1"/>
        <v>45687</v>
      </c>
      <c r="AH3" s="68">
        <f t="shared" si="1"/>
        <v>45688</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70">
        <f>SUM(D4:AH4)</f>
        <v>0</v>
      </c>
      <c r="AJ4" s="160">
        <f>JanTot.01/8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70">
        <f>SUM(D5:AH5)</f>
        <v>0</v>
      </c>
      <c r="AJ5" s="160">
        <f>JanTot.02/8</f>
        <v>0</v>
      </c>
      <c r="AK5" s="88" t="str">
        <f t="shared" ref="AK5:AK23" si="2">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70">
        <f>SUM(D6:AH6)</f>
        <v>0</v>
      </c>
      <c r="AJ6" s="160">
        <f>JanTot.03/8</f>
        <v>0</v>
      </c>
      <c r="AK6" s="88" t="str">
        <f t="shared" si="2"/>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70">
        <f t="shared" ref="AI7:AI17" si="3">SUM(D7:AH7)</f>
        <v>0</v>
      </c>
      <c r="AJ7" s="160">
        <f>JanTot.04/8</f>
        <v>0</v>
      </c>
      <c r="AK7" s="88" t="str">
        <f t="shared" si="2"/>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70">
        <f t="shared" si="3"/>
        <v>0</v>
      </c>
      <c r="AJ8" s="160">
        <f>JanTot.05/8</f>
        <v>0</v>
      </c>
      <c r="AK8" s="88" t="str">
        <f t="shared" si="2"/>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70">
        <f t="shared" si="3"/>
        <v>0</v>
      </c>
      <c r="AJ9" s="160">
        <f>JanTot.06/8</f>
        <v>0</v>
      </c>
      <c r="AK9" s="88" t="str">
        <f t="shared" si="2"/>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70">
        <f t="shared" si="3"/>
        <v>0</v>
      </c>
      <c r="AJ10" s="160">
        <f>JanTot.07/8</f>
        <v>0</v>
      </c>
      <c r="AK10" s="88" t="str">
        <f t="shared" si="2"/>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70">
        <f t="shared" si="3"/>
        <v>0</v>
      </c>
      <c r="AJ11" s="160">
        <f>JanTot.08/8</f>
        <v>0</v>
      </c>
      <c r="AK11" s="88" t="str">
        <f>IFERROR(AI11/$AI$26,"")</f>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70">
        <f t="shared" si="3"/>
        <v>0</v>
      </c>
      <c r="AJ12" s="160">
        <f>JanTot.09/8</f>
        <v>0</v>
      </c>
      <c r="AK12" s="88" t="str">
        <f t="shared" si="2"/>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70">
        <f t="shared" si="3"/>
        <v>0</v>
      </c>
      <c r="AJ13" s="160">
        <f>JanTot.10/8</f>
        <v>0</v>
      </c>
      <c r="AK13" s="88" t="str">
        <f t="shared" si="2"/>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70">
        <f t="shared" si="3"/>
        <v>0</v>
      </c>
      <c r="AJ14" s="160">
        <f>JanTot.11/8</f>
        <v>0</v>
      </c>
      <c r="AK14" s="88" t="str">
        <f t="shared" si="2"/>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70">
        <f t="shared" si="3"/>
        <v>0</v>
      </c>
      <c r="AJ15" s="160">
        <f>JanTot.12/8</f>
        <v>0</v>
      </c>
      <c r="AK15" s="88" t="str">
        <f t="shared" si="2"/>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70">
        <f t="shared" si="3"/>
        <v>0</v>
      </c>
      <c r="AJ16" s="160">
        <f>JanTot.13/8</f>
        <v>0</v>
      </c>
      <c r="AK16" s="88" t="str">
        <f t="shared" si="2"/>
        <v/>
      </c>
      <c r="AL16" s="133"/>
    </row>
    <row r="17" spans="2:39"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70">
        <f t="shared" si="3"/>
        <v>0</v>
      </c>
      <c r="AJ17" s="160">
        <f>JanTot.14/8</f>
        <v>0</v>
      </c>
      <c r="AK17" s="88" t="str">
        <f t="shared" si="2"/>
        <v/>
      </c>
      <c r="AL17" s="133"/>
    </row>
    <row r="18" spans="2:39"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70">
        <f t="shared" ref="AI18:AI23" si="4">SUM(D18:AH18)</f>
        <v>0</v>
      </c>
      <c r="AJ18" s="160">
        <f>JanTot.15/8</f>
        <v>0</v>
      </c>
      <c r="AK18" s="88" t="str">
        <f t="shared" si="2"/>
        <v/>
      </c>
      <c r="AL18" s="133"/>
    </row>
    <row r="19" spans="2:39"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70">
        <f t="shared" si="4"/>
        <v>0</v>
      </c>
      <c r="AJ19" s="160">
        <f>JanTot.16/8</f>
        <v>0</v>
      </c>
      <c r="AK19" s="88" t="str">
        <f t="shared" si="2"/>
        <v/>
      </c>
      <c r="AL19" s="133"/>
    </row>
    <row r="20" spans="2:39"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70">
        <f t="shared" si="4"/>
        <v>0</v>
      </c>
      <c r="AJ20" s="160">
        <f>JanTot.17/8</f>
        <v>0</v>
      </c>
      <c r="AK20" s="88" t="str">
        <f t="shared" si="2"/>
        <v/>
      </c>
      <c r="AL20" s="133"/>
    </row>
    <row r="21" spans="2:39"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70">
        <f t="shared" si="4"/>
        <v>0</v>
      </c>
      <c r="AJ21" s="160">
        <f>JanTot.18/8</f>
        <v>0</v>
      </c>
      <c r="AK21" s="88" t="str">
        <f t="shared" si="2"/>
        <v/>
      </c>
      <c r="AL21" s="133"/>
    </row>
    <row r="22" spans="2:39"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70">
        <f t="shared" si="4"/>
        <v>0</v>
      </c>
      <c r="AJ22" s="160">
        <f>JanTot.19/8</f>
        <v>0</v>
      </c>
      <c r="AK22" s="88" t="str">
        <f t="shared" si="2"/>
        <v/>
      </c>
      <c r="AL22" s="133"/>
    </row>
    <row r="23" spans="2:39"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70">
        <f t="shared" si="4"/>
        <v>0</v>
      </c>
      <c r="AJ23" s="160">
        <f>JanTot.20/8</f>
        <v>0</v>
      </c>
      <c r="AK23" s="88" t="str">
        <f t="shared" si="2"/>
        <v/>
      </c>
      <c r="AL23" s="133"/>
    </row>
    <row r="24" spans="2:39"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6">
        <f>SUM(D24:AH24)</f>
        <v>0</v>
      </c>
      <c r="AJ24" s="161">
        <f>AI24/8</f>
        <v>0</v>
      </c>
      <c r="AK24" s="157" t="str">
        <f>IFERROR(AI24/$AI$28,"")</f>
        <v/>
      </c>
      <c r="AL24" s="133"/>
    </row>
    <row r="25" spans="2:39" ht="17.149999999999999" customHeight="1" x14ac:dyDescent="0.35">
      <c r="B25" s="65" t="s">
        <v>45</v>
      </c>
      <c r="C25" s="64"/>
      <c r="D25" s="71">
        <f>D26</f>
        <v>0</v>
      </c>
      <c r="E25" s="71">
        <f t="shared" ref="E25:AH25" si="5">E26</f>
        <v>0</v>
      </c>
      <c r="F25" s="71">
        <f t="shared" si="5"/>
        <v>0</v>
      </c>
      <c r="G25" s="71">
        <f t="shared" si="5"/>
        <v>0</v>
      </c>
      <c r="H25" s="71">
        <f t="shared" si="5"/>
        <v>0</v>
      </c>
      <c r="I25" s="71">
        <f t="shared" si="5"/>
        <v>0</v>
      </c>
      <c r="J25" s="71">
        <f t="shared" si="5"/>
        <v>0</v>
      </c>
      <c r="K25" s="71">
        <f t="shared" si="5"/>
        <v>0</v>
      </c>
      <c r="L25" s="71">
        <f t="shared" si="5"/>
        <v>0</v>
      </c>
      <c r="M25" s="71">
        <f t="shared" si="5"/>
        <v>0</v>
      </c>
      <c r="N25" s="71">
        <f t="shared" si="5"/>
        <v>0</v>
      </c>
      <c r="O25" s="71">
        <f t="shared" si="5"/>
        <v>0</v>
      </c>
      <c r="P25" s="71">
        <f t="shared" si="5"/>
        <v>0</v>
      </c>
      <c r="Q25" s="71">
        <f t="shared" si="5"/>
        <v>0</v>
      </c>
      <c r="R25" s="71">
        <f t="shared" si="5"/>
        <v>0</v>
      </c>
      <c r="S25" s="71">
        <f t="shared" si="5"/>
        <v>0</v>
      </c>
      <c r="T25" s="71">
        <f t="shared" si="5"/>
        <v>0</v>
      </c>
      <c r="U25" s="71">
        <f t="shared" si="5"/>
        <v>0</v>
      </c>
      <c r="V25" s="71">
        <f t="shared" si="5"/>
        <v>0</v>
      </c>
      <c r="W25" s="71">
        <f t="shared" si="5"/>
        <v>0</v>
      </c>
      <c r="X25" s="71">
        <f t="shared" si="5"/>
        <v>0</v>
      </c>
      <c r="Y25" s="71">
        <f t="shared" si="5"/>
        <v>0</v>
      </c>
      <c r="Z25" s="71">
        <f t="shared" si="5"/>
        <v>0</v>
      </c>
      <c r="AA25" s="71">
        <f t="shared" si="5"/>
        <v>0</v>
      </c>
      <c r="AB25" s="71">
        <f t="shared" si="5"/>
        <v>0</v>
      </c>
      <c r="AC25" s="71">
        <f t="shared" si="5"/>
        <v>0</v>
      </c>
      <c r="AD25" s="71">
        <f t="shared" si="5"/>
        <v>0</v>
      </c>
      <c r="AE25" s="71">
        <f t="shared" si="5"/>
        <v>0</v>
      </c>
      <c r="AF25" s="71">
        <f t="shared" si="5"/>
        <v>0</v>
      </c>
      <c r="AG25" s="71">
        <f t="shared" si="5"/>
        <v>0</v>
      </c>
      <c r="AH25" s="71">
        <f t="shared" si="5"/>
        <v>0</v>
      </c>
      <c r="AI25" s="72"/>
      <c r="AJ25" s="72"/>
      <c r="AK25" s="64"/>
    </row>
    <row r="26" spans="2:39" ht="17.149999999999999" customHeight="1" x14ac:dyDescent="0.35">
      <c r="B26" s="302" t="s">
        <v>46</v>
      </c>
      <c r="C26" s="303"/>
      <c r="D26" s="73">
        <f t="shared" ref="D26:AH26" si="6">SUM(D4:D23)</f>
        <v>0</v>
      </c>
      <c r="E26" s="73">
        <f t="shared" si="6"/>
        <v>0</v>
      </c>
      <c r="F26" s="73">
        <f t="shared" si="6"/>
        <v>0</v>
      </c>
      <c r="G26" s="73">
        <f t="shared" si="6"/>
        <v>0</v>
      </c>
      <c r="H26" s="73">
        <f t="shared" si="6"/>
        <v>0</v>
      </c>
      <c r="I26" s="73">
        <f t="shared" si="6"/>
        <v>0</v>
      </c>
      <c r="J26" s="73">
        <f t="shared" si="6"/>
        <v>0</v>
      </c>
      <c r="K26" s="73">
        <f t="shared" si="6"/>
        <v>0</v>
      </c>
      <c r="L26" s="73">
        <f t="shared" si="6"/>
        <v>0</v>
      </c>
      <c r="M26" s="73">
        <f t="shared" si="6"/>
        <v>0</v>
      </c>
      <c r="N26" s="73">
        <f t="shared" si="6"/>
        <v>0</v>
      </c>
      <c r="O26" s="73">
        <f t="shared" si="6"/>
        <v>0</v>
      </c>
      <c r="P26" s="73">
        <f t="shared" si="6"/>
        <v>0</v>
      </c>
      <c r="Q26" s="73">
        <f t="shared" si="6"/>
        <v>0</v>
      </c>
      <c r="R26" s="73">
        <f t="shared" si="6"/>
        <v>0</v>
      </c>
      <c r="S26" s="73">
        <f t="shared" si="6"/>
        <v>0</v>
      </c>
      <c r="T26" s="73">
        <f t="shared" si="6"/>
        <v>0</v>
      </c>
      <c r="U26" s="73">
        <f t="shared" si="6"/>
        <v>0</v>
      </c>
      <c r="V26" s="73">
        <f t="shared" si="6"/>
        <v>0</v>
      </c>
      <c r="W26" s="73">
        <f t="shared" si="6"/>
        <v>0</v>
      </c>
      <c r="X26" s="73">
        <f t="shared" si="6"/>
        <v>0</v>
      </c>
      <c r="Y26" s="73">
        <f t="shared" si="6"/>
        <v>0</v>
      </c>
      <c r="Z26" s="73">
        <f t="shared" si="6"/>
        <v>0</v>
      </c>
      <c r="AA26" s="73">
        <f t="shared" si="6"/>
        <v>0</v>
      </c>
      <c r="AB26" s="73">
        <f t="shared" si="6"/>
        <v>0</v>
      </c>
      <c r="AC26" s="73">
        <f t="shared" si="6"/>
        <v>0</v>
      </c>
      <c r="AD26" s="73">
        <f t="shared" si="6"/>
        <v>0</v>
      </c>
      <c r="AE26" s="73">
        <f t="shared" si="6"/>
        <v>0</v>
      </c>
      <c r="AF26" s="73">
        <f t="shared" si="6"/>
        <v>0</v>
      </c>
      <c r="AG26" s="73">
        <f t="shared" si="6"/>
        <v>0</v>
      </c>
      <c r="AH26" s="73">
        <f t="shared" si="6"/>
        <v>0</v>
      </c>
      <c r="AI26" s="74">
        <f>SUM(D26:AH26)</f>
        <v>0</v>
      </c>
      <c r="AJ26" s="162">
        <f>AI26/8</f>
        <v>0</v>
      </c>
      <c r="AM26" s="132"/>
    </row>
    <row r="27" spans="2:39"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2"/>
      <c r="AJ27" s="64"/>
      <c r="AM27" s="132"/>
    </row>
    <row r="28" spans="2:39" ht="17.149999999999999" customHeight="1" x14ac:dyDescent="0.35">
      <c r="B28" s="302" t="s">
        <v>47</v>
      </c>
      <c r="C28" s="303"/>
      <c r="D28" s="73">
        <f>SUM(D4:D24)</f>
        <v>0</v>
      </c>
      <c r="E28" s="73">
        <f t="shared" ref="E28:AH28" si="7">SUM(E4:E24)</f>
        <v>0</v>
      </c>
      <c r="F28" s="73">
        <f t="shared" si="7"/>
        <v>0</v>
      </c>
      <c r="G28" s="73">
        <f t="shared" si="7"/>
        <v>0</v>
      </c>
      <c r="H28" s="73">
        <f t="shared" si="7"/>
        <v>0</v>
      </c>
      <c r="I28" s="73">
        <f t="shared" si="7"/>
        <v>0</v>
      </c>
      <c r="J28" s="73">
        <f t="shared" si="7"/>
        <v>0</v>
      </c>
      <c r="K28" s="73">
        <f t="shared" si="7"/>
        <v>0</v>
      </c>
      <c r="L28" s="73">
        <f t="shared" si="7"/>
        <v>0</v>
      </c>
      <c r="M28" s="73">
        <f t="shared" si="7"/>
        <v>0</v>
      </c>
      <c r="N28" s="73">
        <f t="shared" si="7"/>
        <v>0</v>
      </c>
      <c r="O28" s="73">
        <f t="shared" si="7"/>
        <v>0</v>
      </c>
      <c r="P28" s="73">
        <f t="shared" si="7"/>
        <v>0</v>
      </c>
      <c r="Q28" s="73">
        <f t="shared" si="7"/>
        <v>0</v>
      </c>
      <c r="R28" s="73">
        <f t="shared" si="7"/>
        <v>0</v>
      </c>
      <c r="S28" s="73">
        <f t="shared" si="7"/>
        <v>0</v>
      </c>
      <c r="T28" s="73">
        <f t="shared" si="7"/>
        <v>0</v>
      </c>
      <c r="U28" s="73">
        <f t="shared" si="7"/>
        <v>0</v>
      </c>
      <c r="V28" s="73">
        <f t="shared" si="7"/>
        <v>0</v>
      </c>
      <c r="W28" s="73">
        <f t="shared" si="7"/>
        <v>0</v>
      </c>
      <c r="X28" s="73">
        <f t="shared" si="7"/>
        <v>0</v>
      </c>
      <c r="Y28" s="73">
        <f t="shared" si="7"/>
        <v>0</v>
      </c>
      <c r="Z28" s="73">
        <f t="shared" si="7"/>
        <v>0</v>
      </c>
      <c r="AA28" s="73">
        <f t="shared" si="7"/>
        <v>0</v>
      </c>
      <c r="AB28" s="73">
        <f t="shared" si="7"/>
        <v>0</v>
      </c>
      <c r="AC28" s="73">
        <f t="shared" si="7"/>
        <v>0</v>
      </c>
      <c r="AD28" s="73">
        <f t="shared" si="7"/>
        <v>0</v>
      </c>
      <c r="AE28" s="73">
        <f t="shared" si="7"/>
        <v>0</v>
      </c>
      <c r="AF28" s="73">
        <f t="shared" si="7"/>
        <v>0</v>
      </c>
      <c r="AG28" s="73">
        <f t="shared" si="7"/>
        <v>0</v>
      </c>
      <c r="AH28" s="73">
        <f t="shared" si="7"/>
        <v>0</v>
      </c>
      <c r="AI28" s="74">
        <f>SUM(D28:AH28)</f>
        <v>0</v>
      </c>
      <c r="AJ28" s="162">
        <f>AI28/8</f>
        <v>0</v>
      </c>
    </row>
    <row r="29" spans="2:39"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47"/>
      <c r="AJ29" s="153"/>
    </row>
    <row r="30" spans="2:39" ht="15.5" x14ac:dyDescent="0.35">
      <c r="B30" s="80" t="s">
        <v>48</v>
      </c>
      <c r="C30" s="6"/>
      <c r="D30" s="81" t="s">
        <v>49</v>
      </c>
      <c r="E30" s="6"/>
      <c r="F30" s="11"/>
      <c r="G30" s="48"/>
      <c r="H30" s="11"/>
      <c r="I30" s="60"/>
      <c r="J30" s="11"/>
      <c r="K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130"/>
      <c r="AK30" s="298" t="s">
        <v>50</v>
      </c>
      <c r="AL30" s="299"/>
    </row>
    <row r="31" spans="2:39" ht="15.5" x14ac:dyDescent="0.35">
      <c r="B31" s="82" t="s">
        <v>45</v>
      </c>
      <c r="C31" s="6"/>
      <c r="D31" s="6"/>
      <c r="E31" s="6"/>
      <c r="F31" s="11"/>
      <c r="G31" s="11"/>
      <c r="H31" s="11"/>
      <c r="I31" s="60"/>
      <c r="J31" s="11"/>
      <c r="K31" s="11"/>
      <c r="O31" s="11"/>
      <c r="P31" s="11"/>
      <c r="Q31" s="304"/>
      <c r="R31" s="304"/>
      <c r="S31" s="304"/>
      <c r="T31" s="304"/>
      <c r="U31" s="304"/>
      <c r="V31" s="304"/>
      <c r="W31" s="304"/>
      <c r="X31" s="304"/>
      <c r="Y31" s="304"/>
      <c r="Z31" s="304"/>
      <c r="AA31" s="304"/>
      <c r="AB31" s="304"/>
      <c r="AC31" s="304"/>
      <c r="AD31" s="304"/>
      <c r="AE31" s="304"/>
      <c r="AF31" s="304"/>
      <c r="AG31" s="304"/>
      <c r="AH31" s="304"/>
      <c r="AI31" s="304"/>
      <c r="AJ31" s="130"/>
      <c r="AK31" s="138">
        <v>1</v>
      </c>
      <c r="AL31" s="139" t="s">
        <v>51</v>
      </c>
    </row>
    <row r="32" spans="2:39" ht="15.5" x14ac:dyDescent="0.35">
      <c r="B32" s="83" t="s">
        <v>45</v>
      </c>
      <c r="C32" s="6"/>
      <c r="D32" s="84"/>
      <c r="E32" s="85"/>
      <c r="F32" s="51"/>
      <c r="G32" s="51"/>
      <c r="H32" s="51"/>
      <c r="I32" s="51"/>
      <c r="J32" s="51"/>
      <c r="K32" s="51"/>
      <c r="O32" s="11"/>
      <c r="P32" s="11"/>
      <c r="S32" s="11"/>
      <c r="T32" s="11"/>
      <c r="U32" s="11"/>
      <c r="V32" s="11"/>
      <c r="W32" s="11"/>
      <c r="X32" s="309"/>
      <c r="Y32" s="309"/>
      <c r="Z32" s="309"/>
      <c r="AA32" s="309"/>
      <c r="AB32" s="310"/>
      <c r="AC32" s="310"/>
      <c r="AD32" s="49"/>
      <c r="AE32" s="309"/>
      <c r="AF32" s="309"/>
      <c r="AG32" s="309"/>
      <c r="AH32" s="309"/>
      <c r="AI32" s="50"/>
      <c r="AJ32" s="50"/>
      <c r="AK32" s="140">
        <v>2</v>
      </c>
      <c r="AL32" s="141" t="s">
        <v>52</v>
      </c>
    </row>
    <row r="33" spans="2:38" ht="15.5" x14ac:dyDescent="0.35">
      <c r="B33" s="209">
        <f>Member</f>
        <v>0</v>
      </c>
      <c r="C33" s="6"/>
      <c r="D33" s="206">
        <f>Supervisor</f>
        <v>0</v>
      </c>
      <c r="E33" s="206"/>
      <c r="F33" s="207"/>
      <c r="G33" s="207"/>
      <c r="H33" s="207"/>
      <c r="I33" s="207"/>
      <c r="J33" s="207"/>
      <c r="K33" s="207"/>
      <c r="O33" s="11"/>
      <c r="P33" s="11"/>
      <c r="Q33" s="304" t="str">
        <f>'Start page'!D6</f>
        <v>• Missing information – Fill in all names and title/function on the Start Page</v>
      </c>
      <c r="R33" s="304"/>
      <c r="S33" s="304"/>
      <c r="T33" s="304"/>
      <c r="U33" s="304"/>
      <c r="V33" s="304"/>
      <c r="W33" s="304"/>
      <c r="X33" s="304"/>
      <c r="Y33" s="304"/>
      <c r="Z33" s="304"/>
      <c r="AA33" s="304"/>
      <c r="AB33" s="304"/>
      <c r="AC33" s="304"/>
      <c r="AD33" s="304"/>
      <c r="AE33" s="304"/>
      <c r="AF33" s="304"/>
      <c r="AG33" s="304"/>
      <c r="AH33" s="304"/>
      <c r="AI33" s="304"/>
      <c r="AJ33" s="130"/>
    </row>
    <row r="34" spans="2:38" ht="18.75" customHeight="1" x14ac:dyDescent="0.35">
      <c r="B34" s="210">
        <f>Title.member</f>
        <v>0</v>
      </c>
      <c r="C34" s="6"/>
      <c r="D34" s="206">
        <f>Title.supervisor</f>
        <v>0</v>
      </c>
      <c r="E34" s="206"/>
      <c r="F34" s="207"/>
      <c r="G34" s="208"/>
      <c r="H34" s="207"/>
      <c r="I34" s="207"/>
      <c r="J34" s="207"/>
      <c r="K34" s="207"/>
      <c r="O34" s="11"/>
      <c r="P34" s="11"/>
      <c r="S34" s="11"/>
      <c r="T34" s="11"/>
      <c r="U34" s="11"/>
      <c r="V34" s="11"/>
      <c r="W34" s="11"/>
      <c r="X34" s="50"/>
      <c r="Y34" s="50"/>
      <c r="Z34" s="50"/>
      <c r="AA34" s="50"/>
      <c r="AB34" s="61"/>
      <c r="AC34" s="61"/>
      <c r="AD34" s="49"/>
      <c r="AE34" s="62"/>
      <c r="AF34" s="62"/>
      <c r="AG34" s="62"/>
      <c r="AH34" s="62"/>
      <c r="AI34" s="11"/>
      <c r="AJ34" s="11"/>
      <c r="AK34" s="52"/>
    </row>
    <row r="35" spans="2:38" ht="18.75" customHeight="1" x14ac:dyDescent="0.35">
      <c r="B35" s="210">
        <f>'Start page'!J4</f>
        <v>0</v>
      </c>
      <c r="C35" s="6"/>
      <c r="D35" s="206">
        <f>'Start page'!J5</f>
        <v>0</v>
      </c>
      <c r="E35" s="206"/>
      <c r="F35" s="207"/>
      <c r="G35" s="208"/>
      <c r="H35" s="207"/>
      <c r="I35" s="207"/>
      <c r="J35" s="207"/>
      <c r="K35" s="207"/>
      <c r="O35" s="11"/>
      <c r="P35" s="11"/>
      <c r="S35" s="11"/>
      <c r="T35" s="11"/>
      <c r="U35" s="11"/>
      <c r="V35" s="11"/>
      <c r="W35" s="11"/>
      <c r="X35" s="50"/>
      <c r="Y35" s="50"/>
      <c r="Z35" s="50"/>
      <c r="AA35" s="50"/>
      <c r="AB35" s="61"/>
      <c r="AC35" s="61"/>
      <c r="AD35" s="49"/>
      <c r="AE35" s="62"/>
      <c r="AF35" s="62"/>
      <c r="AG35" s="62"/>
      <c r="AH35" s="62"/>
      <c r="AI35" s="11"/>
      <c r="AJ35" s="11"/>
      <c r="AK35" s="52"/>
    </row>
    <row r="36" spans="2:38" ht="24" customHeight="1" x14ac:dyDescent="0.35">
      <c r="B36" s="210" t="s">
        <v>53</v>
      </c>
      <c r="C36" s="6"/>
      <c r="D36" s="206" t="s">
        <v>54</v>
      </c>
      <c r="E36" s="206"/>
      <c r="F36" s="207"/>
      <c r="G36" s="208"/>
      <c r="H36" s="207"/>
      <c r="I36" s="207"/>
      <c r="J36" s="207"/>
      <c r="K36" s="207"/>
      <c r="O36" s="11"/>
      <c r="P36" s="11"/>
      <c r="Q36" s="311" t="s">
        <v>55</v>
      </c>
      <c r="R36" s="311"/>
      <c r="S36" s="311"/>
      <c r="T36" s="311"/>
      <c r="U36" s="311"/>
      <c r="V36" s="311"/>
      <c r="W36" s="311"/>
      <c r="X36" s="311"/>
      <c r="Y36" s="311"/>
      <c r="Z36" s="311"/>
      <c r="AC36" s="311" t="s">
        <v>268</v>
      </c>
      <c r="AD36" s="311"/>
      <c r="AE36" s="311"/>
      <c r="AF36" s="311"/>
      <c r="AG36" s="311"/>
      <c r="AH36" s="311"/>
      <c r="AI36" s="311"/>
      <c r="AJ36" s="311"/>
      <c r="AK36" s="311"/>
      <c r="AL36" s="311"/>
    </row>
    <row r="37" spans="2:38" ht="12" customHeight="1" x14ac:dyDescent="0.35">
      <c r="B37" s="5"/>
      <c r="C37" s="6"/>
      <c r="D37" s="6"/>
      <c r="E37" s="6"/>
      <c r="F37" s="11"/>
      <c r="G37" s="50"/>
      <c r="H37" s="11"/>
      <c r="I37" s="11"/>
      <c r="J37" s="11"/>
      <c r="K37" s="11"/>
      <c r="O37" s="11"/>
      <c r="P37" s="11"/>
      <c r="Q37" s="311"/>
      <c r="R37" s="311"/>
      <c r="S37" s="311"/>
      <c r="T37" s="311"/>
      <c r="U37" s="311"/>
      <c r="V37" s="311"/>
      <c r="W37" s="311"/>
      <c r="X37" s="311"/>
      <c r="Y37" s="311"/>
      <c r="Z37" s="311"/>
      <c r="AC37" s="311"/>
      <c r="AD37" s="311"/>
      <c r="AE37" s="311"/>
      <c r="AF37" s="311"/>
      <c r="AG37" s="311"/>
      <c r="AH37" s="311"/>
      <c r="AI37" s="311"/>
      <c r="AJ37" s="311"/>
      <c r="AK37" s="311"/>
      <c r="AL37" s="311"/>
    </row>
    <row r="38" spans="2:38" ht="23.25" customHeight="1" x14ac:dyDescent="0.35">
      <c r="B38" s="83" t="s">
        <v>45</v>
      </c>
      <c r="C38" s="6"/>
      <c r="D38" s="84"/>
      <c r="E38" s="87" t="s">
        <v>45</v>
      </c>
      <c r="F38" s="51"/>
      <c r="G38" s="51"/>
      <c r="H38" s="51"/>
      <c r="I38" s="51"/>
      <c r="J38" s="51"/>
      <c r="K38" s="51"/>
      <c r="O38" s="11"/>
      <c r="P38" s="11"/>
      <c r="Q38" s="311"/>
      <c r="R38" s="311"/>
      <c r="S38" s="311"/>
      <c r="T38" s="311"/>
      <c r="U38" s="311"/>
      <c r="V38" s="311"/>
      <c r="W38" s="311"/>
      <c r="X38" s="311"/>
      <c r="Y38" s="311"/>
      <c r="Z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O39" s="11"/>
      <c r="P39" s="11"/>
      <c r="AJ39" s="11"/>
      <c r="AK39" s="11"/>
    </row>
    <row r="40" spans="2:38" x14ac:dyDescent="0.35">
      <c r="B40" s="9" t="s">
        <v>45</v>
      </c>
      <c r="C40" s="9">
        <f>ROW()</f>
        <v>40</v>
      </c>
      <c r="AC40" s="305"/>
      <c r="AD40" s="306"/>
      <c r="AE40" s="306"/>
      <c r="AF40" s="306"/>
      <c r="AG40" s="306"/>
      <c r="AH40" s="306"/>
    </row>
    <row r="41" spans="2:38" ht="15" customHeight="1" x14ac:dyDescent="0.35">
      <c r="AC41" s="307"/>
      <c r="AD41" s="308"/>
      <c r="AE41" s="308"/>
      <c r="AF41" s="308"/>
      <c r="AG41" s="308"/>
      <c r="AH41" s="308"/>
    </row>
    <row r="42" spans="2:38" ht="15" customHeight="1" x14ac:dyDescent="0.35">
      <c r="AC42" s="307"/>
      <c r="AD42" s="308"/>
      <c r="AE42" s="308"/>
      <c r="AF42" s="308"/>
      <c r="AG42" s="308"/>
      <c r="AH42" s="308"/>
    </row>
    <row r="43" spans="2:38" ht="15" customHeight="1" x14ac:dyDescent="0.35">
      <c r="AC43" s="307"/>
      <c r="AD43" s="308"/>
      <c r="AE43" s="308"/>
      <c r="AF43" s="308"/>
      <c r="AG43" s="308"/>
      <c r="AH43" s="308"/>
    </row>
    <row r="44" spans="2:38" ht="15" customHeight="1" x14ac:dyDescent="0.35"/>
    <row r="45" spans="2:38" ht="15" customHeight="1" x14ac:dyDescent="0.35"/>
    <row r="46" spans="2:38" ht="14.5" customHeight="1" x14ac:dyDescent="0.35"/>
    <row r="47" spans="2:38" ht="25.4" customHeight="1" x14ac:dyDescent="0.35"/>
    <row r="48" spans="2:3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sheetData>
  <sheetProtection algorithmName="SHA-512" hashValue="uzHcrsYQvKWOmTfWWNrskE1fGCfN6PlT0qp++IG53RIDCq0tWRb84De9HmOh81kp6yVHgJAFpB4kJxH7GJSszA==" saltValue="jf79do53vd770SV+IIlKMA==" spinCount="100000" sheet="1" selectLockedCells="1"/>
  <mergeCells count="35">
    <mergeCell ref="B4:C4"/>
    <mergeCell ref="B5:C5"/>
    <mergeCell ref="Q30:AI30"/>
    <mergeCell ref="AB32:AC32"/>
    <mergeCell ref="Q33:AI33"/>
    <mergeCell ref="B17:C17"/>
    <mergeCell ref="B20:C20"/>
    <mergeCell ref="B21:C21"/>
    <mergeCell ref="B22:C22"/>
    <mergeCell ref="B19:C19"/>
    <mergeCell ref="B8:C8"/>
    <mergeCell ref="B6:C6"/>
    <mergeCell ref="B7:C7"/>
    <mergeCell ref="B16:C16"/>
    <mergeCell ref="B14:C14"/>
    <mergeCell ref="B15:C15"/>
    <mergeCell ref="AC40:AH40"/>
    <mergeCell ref="AC41:AH41"/>
    <mergeCell ref="Q31:AI31"/>
    <mergeCell ref="AC43:AH43"/>
    <mergeCell ref="AE32:AH32"/>
    <mergeCell ref="AC36:AL38"/>
    <mergeCell ref="Q36:Z38"/>
    <mergeCell ref="AC42:AH42"/>
    <mergeCell ref="X32:AA32"/>
    <mergeCell ref="AK30:AL30"/>
    <mergeCell ref="B23:C23"/>
    <mergeCell ref="B18:C18"/>
    <mergeCell ref="B26:C26"/>
    <mergeCell ref="B28:C28"/>
    <mergeCell ref="B9:C9"/>
    <mergeCell ref="B10:C10"/>
    <mergeCell ref="B11:C11"/>
    <mergeCell ref="B12:C12"/>
    <mergeCell ref="B13:C13"/>
  </mergeCells>
  <conditionalFormatting sqref="B4:C23">
    <cfRule type="containsText" dxfId="317" priority="9" operator="containsText" text="Erasmus+">
      <formula>NOT(ISERROR(SEARCH("Erasmus+",B4)))</formula>
    </cfRule>
    <cfRule type="containsText" dxfId="315" priority="11" operator="containsText" text="Other US">
      <formula>NOT(ISERROR(SEARCH("Other US",B4)))</formula>
    </cfRule>
    <cfRule type="containsText" dxfId="314" priority="12" operator="containsText" text="US Army">
      <formula>NOT(ISERROR(SEARCH("US Army",B4)))</formula>
    </cfRule>
    <cfRule type="containsText" dxfId="312" priority="14" operator="containsText" text="NIH">
      <formula>NOT(ISERROR(SEARCH("NIH",B4)))</formula>
    </cfRule>
    <cfRule type="containsText" dxfId="311" priority="15" operator="containsText" text="FP7">
      <formula>NOT(ISERROR(SEARCH("FP7",B4)))</formula>
    </cfRule>
    <cfRule type="containsText" dxfId="310" priority="16" operator="containsText" text="H2020">
      <formula>NOT(ISERROR(SEARCH("H2020",B4)))</formula>
    </cfRule>
    <cfRule type="containsText" dxfId="309" priority="17" operator="containsText" text="Sida">
      <formula>NOT(ISERROR(SEARCH("Sida",B4)))</formula>
    </cfRule>
    <cfRule type="containsText" dxfId="308" priority="18" operator="containsText" text="Other">
      <formula>NOT(ISERROR(SEARCH("Other",B4)))</formula>
    </cfRule>
  </conditionalFormatting>
  <conditionalFormatting sqref="D3:AH3">
    <cfRule type="expression" dxfId="307" priority="343">
      <formula>MATCH(D3,INDIRECT("Fixed_weekdays[DateInYear]"),0)&gt;0</formula>
    </cfRule>
    <cfRule type="expression" dxfId="306" priority="342">
      <formula>MATCH(D3,INDIRECT("Fixed_dates[DateInYear]"),0)&gt;0</formula>
    </cfRule>
    <cfRule type="expression" dxfId="305" priority="341">
      <formula>AND(INDEX(INDIRECT("Shortened[WorkHours]"),MATCH(D3,INDIRECT("Shortened[DateInYear]"),0),0)&gt;0,INDEX(INDIRECT("Shortened[WorkHours]"),MATCH(D3,INDIRECT("Shortened[DateInYear]"),0),0)&lt;8)</formula>
    </cfRule>
    <cfRule type="expression" dxfId="304" priority="340">
      <formula>AND(INDEX(INDIRECT("Clamp[WorkHours]"),MATCH(C3,INDIRECT("Clamp[DateInYear]"),0),0)&gt;0,INDEX(INDIRECT("Clamp[WorkHours]"),MATCH(C3,INDIRECT("Clamp[DateInYear]"),0),0)&lt;8)</formula>
    </cfRule>
    <cfRule type="expression" dxfId="303" priority="339">
      <formula>INDEX(INDIRECT("Clamp[WorkHours]"),MATCH(D3,INDIRECT("Clamp[DateInYear]"),0),0)&gt;7</formula>
    </cfRule>
    <cfRule type="expression" dxfId="302" priority="338">
      <formula>INDEX(INDIRECT("Shortened[WorkHours]"),MATCH(D3,INDIRECT("Shortened[DateInYear]"),0),0)&gt;7</formula>
    </cfRule>
    <cfRule type="expression" dxfId="301" priority="337">
      <formula>OR(WEEKDAY(D3,2)=6,WEEKDAY(D3,2)=7)</formula>
    </cfRule>
  </conditionalFormatting>
  <conditionalFormatting sqref="D4:AH24">
    <cfRule type="expression" dxfId="300" priority="42">
      <formula>D$2</formula>
    </cfRule>
  </conditionalFormatting>
  <conditionalFormatting sqref="D25:AH25">
    <cfRule type="iconSet" priority="74">
      <iconSet iconSet="3Flags">
        <cfvo type="percent" val="0"/>
        <cfvo type="percent" val="33"/>
        <cfvo type="percent" val="67"/>
      </iconSet>
    </cfRule>
    <cfRule type="iconSet" priority="75">
      <iconSet iconSet="3Flags">
        <cfvo type="percent" val="0"/>
        <cfvo type="percent" val="33"/>
        <cfvo type="percent" val="67"/>
      </iconSet>
    </cfRule>
  </conditionalFormatting>
  <conditionalFormatting sqref="D26:AH26">
    <cfRule type="cellIs" dxfId="299" priority="67" operator="greaterThan">
      <formula>24</formula>
    </cfRule>
    <cfRule type="cellIs" dxfId="298" priority="78" operator="greaterThan">
      <formula>14</formula>
    </cfRule>
  </conditionalFormatting>
  <conditionalFormatting sqref="I24:J24">
    <cfRule type="expression" dxfId="297" priority="7">
      <formula>K$2</formula>
    </cfRule>
  </conditionalFormatting>
  <conditionalFormatting sqref="N1:O1">
    <cfRule type="iconSet" priority="29">
      <iconSet iconSet="3Flags">
        <cfvo type="percent" val="0"/>
        <cfvo type="percent" val="33"/>
        <cfvo type="percent" val="67"/>
      </iconSet>
    </cfRule>
    <cfRule type="iconSet" priority="28">
      <iconSet iconSet="3Flags">
        <cfvo type="percent" val="0"/>
        <cfvo type="percent" val="33"/>
        <cfvo type="percent" val="67"/>
      </iconSet>
    </cfRule>
  </conditionalFormatting>
  <conditionalFormatting sqref="P24:Q24">
    <cfRule type="expression" dxfId="296" priority="5">
      <formula>R$2</formula>
    </cfRule>
  </conditionalFormatting>
  <conditionalFormatting sqref="W24:X24">
    <cfRule type="expression" dxfId="295" priority="3">
      <formula>Y$2</formula>
    </cfRule>
  </conditionalFormatting>
  <conditionalFormatting sqref="AD24:AE24">
    <cfRule type="expression" dxfId="294" priority="1">
      <formula>AF$2</formula>
    </cfRule>
  </conditionalFormatting>
  <conditionalFormatting sqref="AK30">
    <cfRule type="expression" dxfId="293" priority="66">
      <formula>AL$2</formula>
    </cfRule>
  </conditionalFormatting>
  <dataValidations count="1">
    <dataValidation type="decimal" allowBlank="1" showInputMessage="1" showErrorMessage="1" errorTitle="ERROR !" error="You may report min 0,5 and max 24 hrs per WP or Project_x000a_" sqref="D4:AH23" xr:uid="{00000000-0002-0000-0400-000000000000}">
      <formula1>0.5</formula1>
      <formula2>24</formula2>
    </dataValidation>
  </dataValidations>
  <printOptions horizontalCentered="1" verticalCentered="1"/>
  <pageMargins left="0.23622047244094491" right="0.23622047244094491" top="0.74803149606299213" bottom="0" header="0.31496062992125984" footer="0"/>
  <pageSetup paperSize="9" scale="50" orientation="landscape" r:id="rId1"/>
  <headerFooter>
    <oddHeader>&amp;L&amp;G&amp;C&amp;24TIMESHEET</oddHeader>
  </headerFooter>
  <ignoredErrors>
    <ignoredError sqref="AI25 D27:AI27 AI7 AI8:AI12 AI13:AI17 AI18:AI22 AI23" unlockedFormula="1"/>
  </ignoredErrors>
  <legacyDrawingHF r:id="rId2"/>
  <extLst>
    <ext xmlns:x14="http://schemas.microsoft.com/office/spreadsheetml/2009/9/main" uri="{78C0D931-6437-407d-A8EE-F0AAD7539E65}">
      <x14:conditionalFormattings>
        <x14:conditionalFormatting xmlns:xm="http://schemas.microsoft.com/office/excel/2006/main">
          <x14:cfRule type="containsText" priority="10" operator="containsText" id="{D121C762-2FF6-416E-A00D-9C24DF4504B9}">
            <xm:f>NOT(ISERROR(SEARCH("HEU",B4)))</xm:f>
            <xm:f>"HEU"</xm:f>
            <x14:dxf>
              <fill>
                <patternFill>
                  <bgColor theme="8" tint="0.79998168889431442"/>
                </patternFill>
              </fill>
            </x14:dxf>
          </x14:cfRule>
          <x14:cfRule type="containsText" priority="13" operator="containsText" id="{280ECA5B-7576-47FD-93A1-A735CC1FCF44}">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70" id="{33259951-1C20-4F89-B724-71DC825ECD1D}">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D25:AH25</xm:sqref>
        </x14:conditionalFormatting>
        <x14:conditionalFormatting xmlns:xm="http://schemas.microsoft.com/office/excel/2006/main">
          <x14:cfRule type="iconSet" priority="27" id="{9E32003E-7A5C-42DD-85CE-45EB97C784A1}">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N1:O1</xm:sqref>
        </x14:conditionalFormatting>
        <x14:conditionalFormatting xmlns:xm="http://schemas.microsoft.com/office/excel/2006/main">
          <x14:cfRule type="iconSet" priority="62" id="{A10DEEDD-902E-4615-87E7-FEE194E2546D}">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61" id="{A8BC471E-5FB0-42F4-849D-22D01259A198}">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 xmlns:xm="http://schemas.microsoft.com/office/excel/2006/main">
          <x14:cfRule type="iconSet" priority="64" id="{81B48B45-8334-4B71-A533-47F317F9289F}">
            <x14:iconSet iconSet="3Flags" showValue="0" custom="1">
              <x14:cfvo type="percent">
                <xm:f>0</xm:f>
              </x14:cfvo>
              <x14:cfvo type="num">
                <xm:f>0</xm:f>
              </x14:cfvo>
              <x14:cfvo type="num" gte="0">
                <xm:f>0</xm:f>
              </x14:cfvo>
              <x14:cfIcon iconSet="NoIcons" iconId="0"/>
              <x14:cfIcon iconSet="NoIcons" iconId="0"/>
              <x14:cfIcon iconSet="3Flags" iconId="1"/>
            </x14:iconSet>
          </x14:cfRule>
          <xm:sqref>AM26</xm:sqref>
        </x14:conditionalFormatting>
        <x14:conditionalFormatting xmlns:xm="http://schemas.microsoft.com/office/excel/2006/main">
          <x14:cfRule type="iconSet" priority="63" id="{0CC5FB65-6EC5-418A-B14D-CB075A0C0220}">
            <x14:iconSet iconSet="3Flags" showValue="0" custom="1">
              <x14:cfvo type="percent">
                <xm:f>0</xm:f>
              </x14:cfvo>
              <x14:cfvo type="num">
                <xm:f>0</xm:f>
              </x14:cfvo>
              <x14:cfvo type="num" gte="0">
                <xm:f>0</xm:f>
              </x14:cfvo>
              <x14:cfIcon iconSet="NoIcons" iconId="0"/>
              <x14:cfIcon iconSet="NoIcons" iconId="0"/>
              <x14:cfIcon iconSet="3Flags" iconId="0"/>
            </x14:iconSet>
          </x14:cfRule>
          <xm:sqref>AM27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3">
    <tabColor theme="5" tint="-0.249977111117893"/>
    <pageSetUpPr fitToPage="1"/>
  </sheetPr>
  <dimension ref="B1:AL165"/>
  <sheetViews>
    <sheetView showGridLines="0" showZeros="0" zoomScale="60" zoomScaleNormal="60" zoomScaleSheetLayoutView="55" workbookViewId="0">
      <selection activeCell="F4" sqref="F4"/>
    </sheetView>
  </sheetViews>
  <sheetFormatPr defaultColWidth="9.1796875" defaultRowHeight="15" customHeight="1" zeroHeight="1" x14ac:dyDescent="0.35"/>
  <cols>
    <col min="1" max="1" width="1.54296875" customWidth="1"/>
    <col min="2" max="2" width="40" customWidth="1"/>
    <col min="3" max="3" width="23" customWidth="1"/>
    <col min="4" max="31" width="5.1796875" customWidth="1"/>
    <col min="32" max="33" width="5.1796875" hidden="1" customWidth="1"/>
    <col min="34" max="34" width="2" hidden="1" customWidth="1"/>
    <col min="35" max="35" width="9.54296875" customWidth="1"/>
    <col min="36" max="36" width="10.453125" customWidth="1"/>
    <col min="37" max="37" width="11.1796875" customWidth="1"/>
    <col min="38" max="38" width="34.1796875" customWidth="1"/>
    <col min="39" max="39" width="5.54296875" customWidth="1"/>
    <col min="40" max="40" width="9.1796875" customWidth="1"/>
  </cols>
  <sheetData>
    <row r="1" spans="2:38" ht="21" x14ac:dyDescent="0.35">
      <c r="B1" s="75" t="s">
        <v>58</v>
      </c>
      <c r="C1" s="75">
        <f>Year</f>
        <v>2025</v>
      </c>
      <c r="D1" s="76"/>
      <c r="E1" s="76"/>
      <c r="F1" s="76"/>
      <c r="G1" s="76"/>
      <c r="H1" s="76"/>
      <c r="I1" s="76"/>
      <c r="J1" s="76"/>
      <c r="K1" s="76"/>
      <c r="L1" s="76"/>
      <c r="M1" s="76"/>
      <c r="N1" s="89"/>
      <c r="O1" s="76"/>
      <c r="P1" s="77" t="s">
        <v>36</v>
      </c>
      <c r="Q1" s="78">
        <f>Member</f>
        <v>0</v>
      </c>
      <c r="R1" s="76"/>
      <c r="S1" s="40"/>
      <c r="T1" s="40"/>
      <c r="U1" s="40"/>
      <c r="V1" s="40"/>
      <c r="W1" s="40"/>
      <c r="X1" s="40"/>
      <c r="Y1" s="40"/>
      <c r="Z1" s="40"/>
      <c r="AA1" s="40"/>
      <c r="AB1" s="40"/>
      <c r="AC1" s="33"/>
      <c r="AD1" s="40"/>
      <c r="AF1" s="40"/>
      <c r="AG1" s="40"/>
      <c r="AH1" s="40"/>
    </row>
    <row r="2" spans="2:38" ht="12.75" customHeight="1" x14ac:dyDescent="0.35">
      <c r="B2" s="34"/>
      <c r="C2" s="41">
        <f>C40</f>
        <v>40</v>
      </c>
      <c r="D2" s="41" t="b">
        <f ca="1">OR(OR(WEEKDAY(D3,2)=6,WEEKDAY(D3,2)=7),IFERROR(INDEX(INDIRECT("Shortened[WorkHours]"),MATCH(D3,INDIRECT("Shortened[DateInYear]"),0),0),0)&gt;7,IFERROR(INDEX(INDIRECT("Clamp[WorkHours]"),MATCH(D3,INDIRECT("Clamp[DateInYear]"),0),0),0)&gt;7,IFERROR(MATCH(D3,INDIRECT("Fixed_dates[DateInYear]"),0),0)&gt;0,IFERROR(MATCH(D3,INDIRECT("Fixed_weekdays[DateInYear]"),0),0)&gt;0)</f>
        <v>1</v>
      </c>
      <c r="E2" s="41" t="b">
        <f t="shared" ref="E2:AH2" ca="1" si="0">OR(OR(WEEKDAY(E3,2)=6,WEEKDAY(E3,2)=7),IFERROR(INDEX(INDIRECT("Shortened[WorkHours]"),MATCH(E3,INDIRECT("Shortened[DateInYear]"),0),0),0)&gt;7,IFERROR(INDEX(INDIRECT("Clamp[WorkHours]"),MATCH(E3,INDIRECT("Clamp[DateInYear]"),0),0),0)&gt;7,IFERROR(MATCH(E3,INDIRECT("Fixed_dates[DateInYear]"),0),0)&gt;0,IFERROR(MATCH(E3,INDIRECT("Fixed_weekdays[DateInYear]"),0),0)&gt;0)</f>
        <v>1</v>
      </c>
      <c r="F2" s="41" t="b">
        <f t="shared" ca="1" si="0"/>
        <v>0</v>
      </c>
      <c r="G2" s="41" t="b">
        <f t="shared" ca="1" si="0"/>
        <v>0</v>
      </c>
      <c r="H2" s="41" t="b">
        <f t="shared" ca="1" si="0"/>
        <v>0</v>
      </c>
      <c r="I2" s="41" t="b">
        <f t="shared" ca="1" si="0"/>
        <v>0</v>
      </c>
      <c r="J2" s="41" t="b">
        <f t="shared" ca="1" si="0"/>
        <v>0</v>
      </c>
      <c r="K2" s="41" t="b">
        <f t="shared" ca="1" si="0"/>
        <v>1</v>
      </c>
      <c r="L2" s="41" t="b">
        <f t="shared" ca="1" si="0"/>
        <v>1</v>
      </c>
      <c r="M2" s="41" t="b">
        <f t="shared" ca="1" si="0"/>
        <v>0</v>
      </c>
      <c r="N2" s="41" t="b">
        <f t="shared" ca="1" si="0"/>
        <v>0</v>
      </c>
      <c r="O2" s="41" t="b">
        <f t="shared" ca="1" si="0"/>
        <v>0</v>
      </c>
      <c r="P2" s="41" t="b">
        <f t="shared" ca="1" si="0"/>
        <v>0</v>
      </c>
      <c r="Q2" s="41" t="b">
        <f t="shared" ca="1" si="0"/>
        <v>0</v>
      </c>
      <c r="R2" s="90" t="b">
        <f t="shared" ca="1" si="0"/>
        <v>1</v>
      </c>
      <c r="S2" s="41" t="b">
        <f t="shared" ca="1" si="0"/>
        <v>1</v>
      </c>
      <c r="T2" s="41" t="b">
        <f t="shared" ca="1" si="0"/>
        <v>0</v>
      </c>
      <c r="U2" s="41" t="b">
        <f t="shared" ca="1" si="0"/>
        <v>0</v>
      </c>
      <c r="V2" s="41" t="b">
        <f t="shared" ca="1" si="0"/>
        <v>0</v>
      </c>
      <c r="W2" s="41" t="b">
        <f t="shared" ca="1" si="0"/>
        <v>0</v>
      </c>
      <c r="X2" s="41" t="b">
        <f t="shared" ca="1" si="0"/>
        <v>0</v>
      </c>
      <c r="Y2" s="41" t="b">
        <f t="shared" ca="1" si="0"/>
        <v>1</v>
      </c>
      <c r="Z2" s="41" t="b">
        <f t="shared" ca="1" si="0"/>
        <v>1</v>
      </c>
      <c r="AA2" s="41" t="b">
        <f t="shared" ca="1" si="0"/>
        <v>0</v>
      </c>
      <c r="AB2" s="41" t="b">
        <f t="shared" ca="1" si="0"/>
        <v>0</v>
      </c>
      <c r="AC2" s="41" t="b">
        <f t="shared" ca="1" si="0"/>
        <v>0</v>
      </c>
      <c r="AD2" s="41" t="b">
        <f t="shared" ca="1" si="0"/>
        <v>0</v>
      </c>
      <c r="AE2" s="41" t="b">
        <f t="shared" ca="1" si="0"/>
        <v>0</v>
      </c>
      <c r="AF2" s="41" t="b">
        <f ca="1">OR(OR(WEEKDAY(AF3,2)=6,WEEKDAY(AF3,2)=7),IFERROR(INDEX(INDIRECT("Shortened[WorkHours]"),MATCH(AF3,INDIRECT("Shortened[DateInYear]"),0),0),0)&gt;7,IFERROR(INDEX(INDIRECT("Clamp[WorkHours]"),MATCH(AF3,INDIRECT("Clamp[DateInYear]"),0),0),0)&gt;7,IFERROR(MATCH(AF3,INDIRECT("Fixed_dates[DateInYear]"),0),0)&gt;0,IFERROR(MATCH(AF3,INDIRECT("Fixed_weekdays[DateInYear]"),0),0)&gt;0)</f>
        <v>1</v>
      </c>
      <c r="AG2" s="41" t="b">
        <f t="shared" ca="1" si="0"/>
        <v>1</v>
      </c>
      <c r="AH2" s="41" t="b">
        <f t="shared" ca="1" si="0"/>
        <v>0</v>
      </c>
      <c r="AI2" s="91"/>
      <c r="AJ2" s="91"/>
      <c r="AK2" s="91"/>
    </row>
    <row r="3" spans="2:38" ht="51" customHeight="1" x14ac:dyDescent="0.35">
      <c r="B3" s="66" t="s">
        <v>37</v>
      </c>
      <c r="C3" s="67"/>
      <c r="D3" s="68">
        <f>DATEVALUE(AloxÅr&amp;"-"&amp;VLOOKUP(LEFT(B1,3),Holidays!$M$4:$N$15,2,0)&amp;"-1")</f>
        <v>45689</v>
      </c>
      <c r="E3" s="68">
        <f>DATE(YEAR(D3),MONTH(D3),DAY(D3)+1)</f>
        <v>45690</v>
      </c>
      <c r="F3" s="68">
        <f t="shared" ref="F3:AH3" si="1">DATE(YEAR(E3),MONTH(E3),DAY(E3)+1)</f>
        <v>45691</v>
      </c>
      <c r="G3" s="68">
        <f t="shared" si="1"/>
        <v>45692</v>
      </c>
      <c r="H3" s="68">
        <f t="shared" si="1"/>
        <v>45693</v>
      </c>
      <c r="I3" s="68">
        <f t="shared" si="1"/>
        <v>45694</v>
      </c>
      <c r="J3" s="68">
        <f t="shared" si="1"/>
        <v>45695</v>
      </c>
      <c r="K3" s="68">
        <f t="shared" si="1"/>
        <v>45696</v>
      </c>
      <c r="L3" s="68">
        <f t="shared" si="1"/>
        <v>45697</v>
      </c>
      <c r="M3" s="68">
        <f t="shared" si="1"/>
        <v>45698</v>
      </c>
      <c r="N3" s="68">
        <f t="shared" si="1"/>
        <v>45699</v>
      </c>
      <c r="O3" s="68">
        <f t="shared" si="1"/>
        <v>45700</v>
      </c>
      <c r="P3" s="68">
        <f t="shared" si="1"/>
        <v>45701</v>
      </c>
      <c r="Q3" s="68">
        <f t="shared" si="1"/>
        <v>45702</v>
      </c>
      <c r="R3" s="68">
        <f t="shared" si="1"/>
        <v>45703</v>
      </c>
      <c r="S3" s="68">
        <f t="shared" si="1"/>
        <v>45704</v>
      </c>
      <c r="T3" s="68">
        <f t="shared" si="1"/>
        <v>45705</v>
      </c>
      <c r="U3" s="68">
        <f t="shared" si="1"/>
        <v>45706</v>
      </c>
      <c r="V3" s="68">
        <f t="shared" si="1"/>
        <v>45707</v>
      </c>
      <c r="W3" s="68">
        <f t="shared" si="1"/>
        <v>45708</v>
      </c>
      <c r="X3" s="68">
        <f t="shared" si="1"/>
        <v>45709</v>
      </c>
      <c r="Y3" s="68">
        <f t="shared" si="1"/>
        <v>45710</v>
      </c>
      <c r="Z3" s="68">
        <f t="shared" si="1"/>
        <v>45711</v>
      </c>
      <c r="AA3" s="68">
        <f t="shared" si="1"/>
        <v>45712</v>
      </c>
      <c r="AB3" s="68">
        <f t="shared" si="1"/>
        <v>45713</v>
      </c>
      <c r="AC3" s="68">
        <f t="shared" si="1"/>
        <v>45714</v>
      </c>
      <c r="AD3" s="68">
        <f t="shared" si="1"/>
        <v>45715</v>
      </c>
      <c r="AE3" s="68">
        <f t="shared" si="1"/>
        <v>45716</v>
      </c>
      <c r="AF3" s="68">
        <f t="shared" si="1"/>
        <v>45717</v>
      </c>
      <c r="AG3" s="68">
        <f t="shared" si="1"/>
        <v>45718</v>
      </c>
      <c r="AH3" s="68">
        <f t="shared" si="1"/>
        <v>45719</v>
      </c>
      <c r="AI3" s="154" t="s">
        <v>38</v>
      </c>
      <c r="AJ3" s="154" t="s">
        <v>39</v>
      </c>
      <c r="AK3" s="154" t="s">
        <v>252</v>
      </c>
      <c r="AL3" s="163" t="s">
        <v>41</v>
      </c>
    </row>
    <row r="4" spans="2:38" ht="17.149999999999999" customHeight="1" x14ac:dyDescent="0.35">
      <c r="B4" s="296" t="str">
        <f>IFERROR(Project.01&amp;" "&amp;WP.01&amp;" "&amp;Contract.01&amp;" "&amp;Type.01&amp;" "&amp;Activity.01," ")</f>
        <v xml:space="preserve">    </v>
      </c>
      <c r="C4" s="296"/>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136"/>
      <c r="AH4" s="136"/>
      <c r="AI4" s="160">
        <f>SUM(D4:AF4)</f>
        <v>0</v>
      </c>
      <c r="AJ4" s="160">
        <f>FebTot.01/8</f>
        <v>0</v>
      </c>
      <c r="AK4" s="88" t="str">
        <f>IFERROR(AI4/$AI$26,"")</f>
        <v/>
      </c>
      <c r="AL4" s="133"/>
    </row>
    <row r="5" spans="2:38" ht="17.149999999999999" customHeight="1" x14ac:dyDescent="0.35">
      <c r="B5" s="296" t="str">
        <f>IFERROR(Project.02&amp;" "&amp;WP.02&amp;" "&amp;Contract.02&amp;" "&amp;Type.02&amp;" "&amp;Activity.02," ")</f>
        <v xml:space="preserve">    </v>
      </c>
      <c r="C5" s="296"/>
      <c r="D5" s="69"/>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136"/>
      <c r="AH5" s="136"/>
      <c r="AI5" s="160">
        <f t="shared" ref="AI5:AI23" si="2">SUM(D5:AF5)</f>
        <v>0</v>
      </c>
      <c r="AJ5" s="160">
        <f>FebTot.02/8</f>
        <v>0</v>
      </c>
      <c r="AK5" s="88" t="str">
        <f t="shared" ref="AK5:AK23" si="3">IFERROR(AI5/$AI$26,"")</f>
        <v/>
      </c>
      <c r="AL5" s="133"/>
    </row>
    <row r="6" spans="2:38" ht="17.149999999999999" customHeight="1" x14ac:dyDescent="0.35">
      <c r="B6" s="296" t="str">
        <f>IFERROR(Project.03&amp;" "&amp;WP.03&amp;" "&amp;Contract.03&amp;" "&amp;Type.03&amp;" "&amp;Activity.03," ")</f>
        <v xml:space="preserve">    </v>
      </c>
      <c r="C6" s="296"/>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136"/>
      <c r="AH6" s="136"/>
      <c r="AI6" s="160">
        <f t="shared" si="2"/>
        <v>0</v>
      </c>
      <c r="AJ6" s="160">
        <f>FebTot.03/8</f>
        <v>0</v>
      </c>
      <c r="AK6" s="88" t="str">
        <f t="shared" si="3"/>
        <v/>
      </c>
      <c r="AL6" s="133"/>
    </row>
    <row r="7" spans="2:38" ht="17.149999999999999" customHeight="1" x14ac:dyDescent="0.35">
      <c r="B7" s="296" t="str">
        <f>IFERROR(Project.04&amp;" "&amp;WP.04&amp;" "&amp;Contract.04&amp;" "&amp;Type.04&amp;" "&amp;Activity.04," ")</f>
        <v xml:space="preserve">    </v>
      </c>
      <c r="C7" s="296"/>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136"/>
      <c r="AH7" s="136"/>
      <c r="AI7" s="160">
        <f t="shared" si="2"/>
        <v>0</v>
      </c>
      <c r="AJ7" s="160">
        <f>FebTot.04/8</f>
        <v>0</v>
      </c>
      <c r="AK7" s="88" t="str">
        <f t="shared" si="3"/>
        <v/>
      </c>
      <c r="AL7" s="133"/>
    </row>
    <row r="8" spans="2:38" ht="17.149999999999999" customHeight="1" x14ac:dyDescent="0.35">
      <c r="B8" s="296" t="str">
        <f>IFERROR(Project.05&amp;" "&amp;WP.05&amp;" "&amp;Contract.05&amp;" "&amp;Type.05&amp;" "&amp;Activity.05," ")</f>
        <v xml:space="preserve">    </v>
      </c>
      <c r="C8" s="296"/>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136"/>
      <c r="AH8" s="136"/>
      <c r="AI8" s="160">
        <f t="shared" si="2"/>
        <v>0</v>
      </c>
      <c r="AJ8" s="160">
        <f>FebTot.05/8</f>
        <v>0</v>
      </c>
      <c r="AK8" s="88" t="str">
        <f t="shared" si="3"/>
        <v/>
      </c>
      <c r="AL8" s="133"/>
    </row>
    <row r="9" spans="2:38" ht="17.149999999999999" customHeight="1" x14ac:dyDescent="0.35">
      <c r="B9" s="296" t="str">
        <f>IFERROR(Project.06&amp;" "&amp;WP.06&amp;" "&amp;Contract.06&amp;" "&amp;Type.06&amp;" "&amp;Activity.06," ")</f>
        <v xml:space="preserve">    </v>
      </c>
      <c r="C9" s="296"/>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136"/>
      <c r="AH9" s="136"/>
      <c r="AI9" s="160">
        <f t="shared" si="2"/>
        <v>0</v>
      </c>
      <c r="AJ9" s="160">
        <f>FebTot.06/8</f>
        <v>0</v>
      </c>
      <c r="AK9" s="88" t="str">
        <f t="shared" si="3"/>
        <v/>
      </c>
      <c r="AL9" s="133"/>
    </row>
    <row r="10" spans="2:38" ht="17.149999999999999" customHeight="1" x14ac:dyDescent="0.35">
      <c r="B10" s="296" t="str">
        <f>IFERROR(Project.07&amp;" "&amp;WP.07&amp;" "&amp;Contract.07&amp;" "&amp;Type.07&amp;" "&amp;Activity.07," ")</f>
        <v xml:space="preserve">    </v>
      </c>
      <c r="C10" s="296"/>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136"/>
      <c r="AH10" s="136"/>
      <c r="AI10" s="160">
        <f t="shared" si="2"/>
        <v>0</v>
      </c>
      <c r="AJ10" s="160">
        <f>FebTot.07/8</f>
        <v>0</v>
      </c>
      <c r="AK10" s="88" t="str">
        <f t="shared" si="3"/>
        <v/>
      </c>
      <c r="AL10" s="133"/>
    </row>
    <row r="11" spans="2:38" ht="17.149999999999999" customHeight="1" x14ac:dyDescent="0.35">
      <c r="B11" s="296" t="str">
        <f>IFERROR(Project.08&amp;" "&amp;WP.08&amp;" "&amp;Contract.08&amp;" "&amp;Type.08&amp;" "&amp;Activity.08," ")</f>
        <v xml:space="preserve">    </v>
      </c>
      <c r="C11" s="296"/>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136"/>
      <c r="AH11" s="136"/>
      <c r="AI11" s="160">
        <f t="shared" si="2"/>
        <v>0</v>
      </c>
      <c r="AJ11" s="160">
        <f>FebTot.08/8</f>
        <v>0</v>
      </c>
      <c r="AK11" s="88" t="str">
        <f t="shared" si="3"/>
        <v/>
      </c>
      <c r="AL11" s="133"/>
    </row>
    <row r="12" spans="2:38" ht="17.149999999999999" customHeight="1" x14ac:dyDescent="0.35">
      <c r="B12" s="296" t="str">
        <f>IFERROR(Project.09&amp;" "&amp;WP.09&amp;" "&amp;Contract.09&amp;" "&amp;Type.09&amp;" "&amp;Activity.09," ")</f>
        <v xml:space="preserve">    </v>
      </c>
      <c r="C12" s="296"/>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136"/>
      <c r="AH12" s="136"/>
      <c r="AI12" s="160">
        <f t="shared" si="2"/>
        <v>0</v>
      </c>
      <c r="AJ12" s="160">
        <f>FebTot.09/8</f>
        <v>0</v>
      </c>
      <c r="AK12" s="88" t="str">
        <f t="shared" si="3"/>
        <v/>
      </c>
      <c r="AL12" s="133"/>
    </row>
    <row r="13" spans="2:38" ht="17.149999999999999" customHeight="1" x14ac:dyDescent="0.35">
      <c r="B13" s="296" t="str">
        <f>IFERROR(Project.10&amp;" "&amp;WP.10&amp;" "&amp;Contract.10&amp;" "&amp;Type.10&amp;" "&amp;Activity.10," ")</f>
        <v xml:space="preserve">    </v>
      </c>
      <c r="C13" s="296"/>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136"/>
      <c r="AH13" s="136"/>
      <c r="AI13" s="160">
        <f t="shared" si="2"/>
        <v>0</v>
      </c>
      <c r="AJ13" s="160">
        <f>FebTot.10/8</f>
        <v>0</v>
      </c>
      <c r="AK13" s="88" t="str">
        <f t="shared" si="3"/>
        <v/>
      </c>
      <c r="AL13" s="133"/>
    </row>
    <row r="14" spans="2:38" ht="17.149999999999999" customHeight="1" x14ac:dyDescent="0.35">
      <c r="B14" s="296" t="str">
        <f>IFERROR(Project.11&amp;" "&amp;WP.11&amp;" "&amp;Contract.11&amp;" "&amp;Type.11&amp;" "&amp;Activity.11," ")</f>
        <v xml:space="preserve">    </v>
      </c>
      <c r="C14" s="296"/>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136"/>
      <c r="AH14" s="136"/>
      <c r="AI14" s="160">
        <f t="shared" si="2"/>
        <v>0</v>
      </c>
      <c r="AJ14" s="160">
        <f>FebTot.11/8</f>
        <v>0</v>
      </c>
      <c r="AK14" s="88" t="str">
        <f t="shared" si="3"/>
        <v/>
      </c>
      <c r="AL14" s="133"/>
    </row>
    <row r="15" spans="2:38" ht="17.149999999999999" customHeight="1" x14ac:dyDescent="0.35">
      <c r="B15" s="296" t="str">
        <f>IFERROR(Project.12&amp;" "&amp;WP.12&amp;" "&amp;Contract.12&amp;" "&amp;Type.12&amp;" "&amp;Activity.12," ")</f>
        <v xml:space="preserve">    </v>
      </c>
      <c r="C15" s="296"/>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136"/>
      <c r="AH15" s="136"/>
      <c r="AI15" s="160">
        <f t="shared" si="2"/>
        <v>0</v>
      </c>
      <c r="AJ15" s="160">
        <f>FebTot.12/8</f>
        <v>0</v>
      </c>
      <c r="AK15" s="88" t="str">
        <f t="shared" si="3"/>
        <v/>
      </c>
      <c r="AL15" s="133"/>
    </row>
    <row r="16" spans="2:38" ht="17.149999999999999" customHeight="1" x14ac:dyDescent="0.35">
      <c r="B16" s="296" t="str">
        <f>IFERROR(Project.13&amp;" "&amp;WP.13&amp;" "&amp;Contract.13&amp;" "&amp;Type.13&amp;" "&amp;Activity.13," ")</f>
        <v xml:space="preserve">    </v>
      </c>
      <c r="C16" s="296"/>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135"/>
      <c r="AH16" s="135"/>
      <c r="AI16" s="160">
        <f t="shared" si="2"/>
        <v>0</v>
      </c>
      <c r="AJ16" s="160">
        <f>FebTot.13/8</f>
        <v>0</v>
      </c>
      <c r="AK16" s="88" t="str">
        <f t="shared" si="3"/>
        <v/>
      </c>
      <c r="AL16" s="133"/>
    </row>
    <row r="17" spans="2:38" ht="17.149999999999999" customHeight="1" x14ac:dyDescent="0.35">
      <c r="B17" s="296" t="str">
        <f>IFERROR(Project.14&amp;" "&amp;WP.14&amp;" "&amp;Contract.14&amp;" "&amp;Type.14&amp;" "&amp;Activity.14," ")</f>
        <v xml:space="preserve">    </v>
      </c>
      <c r="C17" s="29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135"/>
      <c r="AH17" s="135"/>
      <c r="AI17" s="160">
        <f t="shared" si="2"/>
        <v>0</v>
      </c>
      <c r="AJ17" s="160">
        <f>FebTot.14/8</f>
        <v>0</v>
      </c>
      <c r="AK17" s="88" t="str">
        <f t="shared" si="3"/>
        <v/>
      </c>
      <c r="AL17" s="133"/>
    </row>
    <row r="18" spans="2:38" ht="17.149999999999999" customHeight="1" x14ac:dyDescent="0.35">
      <c r="B18" s="296" t="str">
        <f>IFERROR(Project.15&amp;" "&amp;WP.15&amp;" "&amp;Contract.15&amp;" "&amp;Type.15&amp;" "&amp;Activity.15," ")</f>
        <v xml:space="preserve">    </v>
      </c>
      <c r="C18" s="296"/>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136"/>
      <c r="AH18" s="136"/>
      <c r="AI18" s="160">
        <f t="shared" si="2"/>
        <v>0</v>
      </c>
      <c r="AJ18" s="160">
        <f>FebTot.15/8</f>
        <v>0</v>
      </c>
      <c r="AK18" s="88" t="str">
        <f t="shared" si="3"/>
        <v/>
      </c>
      <c r="AL18" s="133"/>
    </row>
    <row r="19" spans="2:38" ht="17.149999999999999" customHeight="1" x14ac:dyDescent="0.35">
      <c r="B19" s="296" t="str">
        <f>IFERROR(Project.16&amp;" "&amp;WP.16&amp;" "&amp;Contract.16&amp;" "&amp;Type.16&amp;" "&amp;Activity.16," ")</f>
        <v xml:space="preserve">    </v>
      </c>
      <c r="C19" s="296"/>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136"/>
      <c r="AH19" s="136"/>
      <c r="AI19" s="160">
        <f t="shared" si="2"/>
        <v>0</v>
      </c>
      <c r="AJ19" s="160">
        <f>FebTot.16/8</f>
        <v>0</v>
      </c>
      <c r="AK19" s="88" t="str">
        <f t="shared" si="3"/>
        <v/>
      </c>
      <c r="AL19" s="133"/>
    </row>
    <row r="20" spans="2:38" ht="17.149999999999999" customHeight="1" x14ac:dyDescent="0.35">
      <c r="B20" s="296" t="str">
        <f>IFERROR(Project.17&amp;" "&amp;WP.17&amp;" "&amp;Contract.17&amp;" "&amp;Type.17&amp;" "&amp;Activity.17," ")</f>
        <v xml:space="preserve">    </v>
      </c>
      <c r="C20" s="296"/>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136"/>
      <c r="AH20" s="136"/>
      <c r="AI20" s="160">
        <f t="shared" si="2"/>
        <v>0</v>
      </c>
      <c r="AJ20" s="160">
        <f>FebTot.17/8</f>
        <v>0</v>
      </c>
      <c r="AK20" s="88" t="str">
        <f t="shared" si="3"/>
        <v/>
      </c>
      <c r="AL20" s="133"/>
    </row>
    <row r="21" spans="2:38" ht="17.149999999999999" customHeight="1" x14ac:dyDescent="0.35">
      <c r="B21" s="300" t="str">
        <f>IFERROR(Project.18&amp;" "&amp;WP.18&amp;" "&amp;Contract.18&amp;" "&amp;Type.18&amp;" "&amp;Activity.18," ")</f>
        <v xml:space="preserve">    </v>
      </c>
      <c r="C21" s="301"/>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136"/>
      <c r="AH21" s="136"/>
      <c r="AI21" s="160">
        <f t="shared" si="2"/>
        <v>0</v>
      </c>
      <c r="AJ21" s="160">
        <f>FebTot.18/8</f>
        <v>0</v>
      </c>
      <c r="AK21" s="88" t="str">
        <f t="shared" si="3"/>
        <v/>
      </c>
      <c r="AL21" s="133"/>
    </row>
    <row r="22" spans="2:38" ht="17.149999999999999" customHeight="1" x14ac:dyDescent="0.35">
      <c r="B22" s="296" t="str">
        <f>IFERROR(Project.19&amp;" "&amp;WP.19&amp;" "&amp;Contract.19&amp;" "&amp;Type.19&amp;" "&amp;Activity.19," ")</f>
        <v xml:space="preserve">    </v>
      </c>
      <c r="C22" s="296"/>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136"/>
      <c r="AH22" s="136"/>
      <c r="AI22" s="160">
        <f t="shared" si="2"/>
        <v>0</v>
      </c>
      <c r="AJ22" s="160">
        <f>FebTot.19/8</f>
        <v>0</v>
      </c>
      <c r="AK22" s="88" t="str">
        <f t="shared" si="3"/>
        <v/>
      </c>
      <c r="AL22" s="133"/>
    </row>
    <row r="23" spans="2:38" ht="17.149999999999999" customHeight="1" x14ac:dyDescent="0.35">
      <c r="B23" s="296"/>
      <c r="C23" s="296"/>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136"/>
      <c r="AH23" s="136"/>
      <c r="AI23" s="160">
        <f t="shared" si="2"/>
        <v>0</v>
      </c>
      <c r="AJ23" s="160">
        <f>FebTot.20/8</f>
        <v>0</v>
      </c>
      <c r="AK23" s="88" t="str">
        <f t="shared" si="3"/>
        <v/>
      </c>
      <c r="AL23" s="133"/>
    </row>
    <row r="24" spans="2:38" ht="18.75" customHeight="1" x14ac:dyDescent="0.35">
      <c r="B24" s="158" t="s">
        <v>43</v>
      </c>
      <c r="C24" s="159"/>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61">
        <f>SUM(D24:AF24)</f>
        <v>0</v>
      </c>
      <c r="AJ24" s="161">
        <f>AI24/8</f>
        <v>0</v>
      </c>
      <c r="AK24" s="157" t="str">
        <f>IFERROR(AI24/$AI$28,"")</f>
        <v/>
      </c>
      <c r="AL24" s="133"/>
    </row>
    <row r="25" spans="2:38" ht="17.149999999999999" customHeight="1" x14ac:dyDescent="0.35">
      <c r="B25" s="65" t="s">
        <v>45</v>
      </c>
      <c r="C25" s="64"/>
      <c r="D25" s="71">
        <f>D26</f>
        <v>0</v>
      </c>
      <c r="E25" s="71">
        <f t="shared" ref="E25:AH25" si="4">E26</f>
        <v>0</v>
      </c>
      <c r="F25" s="71">
        <f t="shared" si="4"/>
        <v>0</v>
      </c>
      <c r="G25" s="71">
        <f t="shared" si="4"/>
        <v>0</v>
      </c>
      <c r="H25" s="71">
        <f t="shared" si="4"/>
        <v>0</v>
      </c>
      <c r="I25" s="71">
        <f t="shared" si="4"/>
        <v>0</v>
      </c>
      <c r="J25" s="71">
        <f t="shared" si="4"/>
        <v>0</v>
      </c>
      <c r="K25" s="71">
        <f t="shared" si="4"/>
        <v>0</v>
      </c>
      <c r="L25" s="71">
        <f t="shared" si="4"/>
        <v>0</v>
      </c>
      <c r="M25" s="71">
        <f t="shared" si="4"/>
        <v>0</v>
      </c>
      <c r="N25" s="71">
        <f t="shared" si="4"/>
        <v>0</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c r="AA25" s="71">
        <f t="shared" si="4"/>
        <v>0</v>
      </c>
      <c r="AB25" s="71">
        <f t="shared" si="4"/>
        <v>0</v>
      </c>
      <c r="AC25" s="71">
        <f t="shared" si="4"/>
        <v>0</v>
      </c>
      <c r="AD25" s="71">
        <f t="shared" si="4"/>
        <v>0</v>
      </c>
      <c r="AE25" s="71">
        <f t="shared" si="4"/>
        <v>0</v>
      </c>
      <c r="AF25" s="71">
        <f t="shared" si="4"/>
        <v>0</v>
      </c>
      <c r="AG25" s="71">
        <f t="shared" si="4"/>
        <v>0</v>
      </c>
      <c r="AH25" s="71">
        <f t="shared" si="4"/>
        <v>0</v>
      </c>
      <c r="AI25" s="166"/>
      <c r="AJ25" s="166"/>
      <c r="AK25" s="64"/>
    </row>
    <row r="26" spans="2:38" ht="17.149999999999999" customHeight="1" x14ac:dyDescent="0.35">
      <c r="B26" s="302" t="s">
        <v>46</v>
      </c>
      <c r="C26" s="303"/>
      <c r="D26" s="73">
        <f t="shared" ref="D26:AF26" si="5">SUM(D4:D23)</f>
        <v>0</v>
      </c>
      <c r="E26" s="73">
        <f t="shared" si="5"/>
        <v>0</v>
      </c>
      <c r="F26" s="73">
        <f t="shared" si="5"/>
        <v>0</v>
      </c>
      <c r="G26" s="73">
        <f t="shared" si="5"/>
        <v>0</v>
      </c>
      <c r="H26" s="73">
        <f t="shared" si="5"/>
        <v>0</v>
      </c>
      <c r="I26" s="73">
        <f t="shared" si="5"/>
        <v>0</v>
      </c>
      <c r="J26" s="73">
        <f t="shared" si="5"/>
        <v>0</v>
      </c>
      <c r="K26" s="73">
        <f t="shared" si="5"/>
        <v>0</v>
      </c>
      <c r="L26" s="73">
        <f t="shared" si="5"/>
        <v>0</v>
      </c>
      <c r="M26" s="73">
        <f t="shared" si="5"/>
        <v>0</v>
      </c>
      <c r="N26" s="73">
        <f t="shared" si="5"/>
        <v>0</v>
      </c>
      <c r="O26" s="73">
        <f t="shared" si="5"/>
        <v>0</v>
      </c>
      <c r="P26" s="73">
        <f t="shared" si="5"/>
        <v>0</v>
      </c>
      <c r="Q26" s="73">
        <f t="shared" si="5"/>
        <v>0</v>
      </c>
      <c r="R26" s="73">
        <f t="shared" si="5"/>
        <v>0</v>
      </c>
      <c r="S26" s="73">
        <f t="shared" si="5"/>
        <v>0</v>
      </c>
      <c r="T26" s="73">
        <f t="shared" si="5"/>
        <v>0</v>
      </c>
      <c r="U26" s="73">
        <f t="shared" si="5"/>
        <v>0</v>
      </c>
      <c r="V26" s="73">
        <f t="shared" si="5"/>
        <v>0</v>
      </c>
      <c r="W26" s="73">
        <f t="shared" si="5"/>
        <v>0</v>
      </c>
      <c r="X26" s="73">
        <f t="shared" si="5"/>
        <v>0</v>
      </c>
      <c r="Y26" s="73">
        <f t="shared" si="5"/>
        <v>0</v>
      </c>
      <c r="Z26" s="73">
        <f t="shared" si="5"/>
        <v>0</v>
      </c>
      <c r="AA26" s="73">
        <f t="shared" si="5"/>
        <v>0</v>
      </c>
      <c r="AB26" s="73">
        <f t="shared" si="5"/>
        <v>0</v>
      </c>
      <c r="AC26" s="73">
        <f t="shared" si="5"/>
        <v>0</v>
      </c>
      <c r="AD26" s="73">
        <f t="shared" si="5"/>
        <v>0</v>
      </c>
      <c r="AE26" s="73">
        <f t="shared" si="5"/>
        <v>0</v>
      </c>
      <c r="AF26" s="73">
        <f t="shared" si="5"/>
        <v>0</v>
      </c>
      <c r="AG26" s="73"/>
      <c r="AH26" s="73"/>
      <c r="AI26" s="162">
        <f>SUM(D26:AH26)</f>
        <v>0</v>
      </c>
      <c r="AJ26" s="162">
        <f>AI26/8</f>
        <v>0</v>
      </c>
    </row>
    <row r="27" spans="2:38" ht="17.149999999999999" customHeight="1" x14ac:dyDescent="0.35">
      <c r="B27" s="65" t="s">
        <v>45</v>
      </c>
      <c r="C27" s="64"/>
      <c r="D27" s="71"/>
      <c r="E27" s="71"/>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167"/>
      <c r="AJ27" s="166"/>
    </row>
    <row r="28" spans="2:38" ht="17.149999999999999" customHeight="1" x14ac:dyDescent="0.35">
      <c r="B28" s="302" t="s">
        <v>47</v>
      </c>
      <c r="C28" s="303"/>
      <c r="D28" s="73">
        <f t="shared" ref="D28:AF28" si="6">SUM(D4:D24)</f>
        <v>0</v>
      </c>
      <c r="E28" s="73">
        <f t="shared" si="6"/>
        <v>0</v>
      </c>
      <c r="F28" s="73">
        <f t="shared" si="6"/>
        <v>0</v>
      </c>
      <c r="G28" s="73">
        <f t="shared" si="6"/>
        <v>0</v>
      </c>
      <c r="H28" s="73">
        <f t="shared" si="6"/>
        <v>0</v>
      </c>
      <c r="I28" s="73">
        <f t="shared" si="6"/>
        <v>0</v>
      </c>
      <c r="J28" s="73">
        <f t="shared" si="6"/>
        <v>0</v>
      </c>
      <c r="K28" s="73">
        <f t="shared" si="6"/>
        <v>0</v>
      </c>
      <c r="L28" s="73">
        <f t="shared" si="6"/>
        <v>0</v>
      </c>
      <c r="M28" s="73">
        <f t="shared" si="6"/>
        <v>0</v>
      </c>
      <c r="N28" s="73">
        <f t="shared" si="6"/>
        <v>0</v>
      </c>
      <c r="O28" s="73">
        <f t="shared" si="6"/>
        <v>0</v>
      </c>
      <c r="P28" s="73">
        <f t="shared" si="6"/>
        <v>0</v>
      </c>
      <c r="Q28" s="73">
        <f t="shared" si="6"/>
        <v>0</v>
      </c>
      <c r="R28" s="73">
        <f t="shared" si="6"/>
        <v>0</v>
      </c>
      <c r="S28" s="73">
        <f t="shared" si="6"/>
        <v>0</v>
      </c>
      <c r="T28" s="73">
        <f t="shared" si="6"/>
        <v>0</v>
      </c>
      <c r="U28" s="73">
        <f t="shared" si="6"/>
        <v>0</v>
      </c>
      <c r="V28" s="73">
        <f t="shared" si="6"/>
        <v>0</v>
      </c>
      <c r="W28" s="73">
        <f t="shared" si="6"/>
        <v>0</v>
      </c>
      <c r="X28" s="73">
        <f t="shared" si="6"/>
        <v>0</v>
      </c>
      <c r="Y28" s="73">
        <f t="shared" si="6"/>
        <v>0</v>
      </c>
      <c r="Z28" s="73">
        <f t="shared" si="6"/>
        <v>0</v>
      </c>
      <c r="AA28" s="73">
        <f t="shared" si="6"/>
        <v>0</v>
      </c>
      <c r="AB28" s="73">
        <f t="shared" si="6"/>
        <v>0</v>
      </c>
      <c r="AC28" s="73">
        <f t="shared" si="6"/>
        <v>0</v>
      </c>
      <c r="AD28" s="73">
        <f t="shared" si="6"/>
        <v>0</v>
      </c>
      <c r="AE28" s="73">
        <f t="shared" si="6"/>
        <v>0</v>
      </c>
      <c r="AF28" s="73">
        <f t="shared" si="6"/>
        <v>0</v>
      </c>
      <c r="AG28" s="73"/>
      <c r="AH28" s="73"/>
      <c r="AI28" s="162">
        <f>SUM(D28:AH28)</f>
        <v>0</v>
      </c>
      <c r="AJ28" s="162">
        <f>AI28/8</f>
        <v>0</v>
      </c>
    </row>
    <row r="29" spans="2:38" ht="17.25" customHeight="1" x14ac:dyDescent="0.35">
      <c r="B29" s="44" t="s">
        <v>45</v>
      </c>
      <c r="C29" s="45"/>
      <c r="D29" s="11"/>
      <c r="E29" s="11"/>
      <c r="F29" s="11"/>
      <c r="G29" s="11"/>
      <c r="H29" s="11"/>
      <c r="I29" s="11"/>
      <c r="J29" s="11"/>
      <c r="K29" s="11"/>
      <c r="L29" s="11"/>
      <c r="M29" s="11"/>
      <c r="N29" s="11"/>
      <c r="O29" s="11"/>
      <c r="P29" s="11"/>
      <c r="Q29" s="11"/>
      <c r="R29" s="11"/>
      <c r="S29" s="11"/>
      <c r="T29" s="11"/>
      <c r="U29" s="11"/>
      <c r="V29" s="46"/>
      <c r="W29" s="46"/>
      <c r="X29" s="46"/>
      <c r="Y29" s="46"/>
      <c r="Z29" s="46"/>
      <c r="AA29" s="46"/>
      <c r="AB29" s="46"/>
      <c r="AC29" s="46"/>
      <c r="AD29" s="46"/>
      <c r="AE29" s="46"/>
      <c r="AF29" s="46"/>
      <c r="AG29" s="46"/>
      <c r="AH29" s="46"/>
      <c r="AI29" s="11"/>
      <c r="AJ29" s="11"/>
      <c r="AK29" s="11"/>
    </row>
    <row r="30" spans="2:38" ht="17.25" customHeight="1" x14ac:dyDescent="0.35">
      <c r="B30" s="80" t="s">
        <v>48</v>
      </c>
      <c r="C30" s="6"/>
      <c r="D30" s="81" t="s">
        <v>49</v>
      </c>
      <c r="E30" s="6"/>
      <c r="F30" s="11"/>
      <c r="G30" s="48"/>
      <c r="H30" s="11"/>
      <c r="I30" s="60"/>
      <c r="J30" s="11"/>
      <c r="K30" s="11"/>
      <c r="L30" s="60"/>
      <c r="M30" s="11"/>
      <c r="N30" s="11"/>
      <c r="O30" s="11"/>
      <c r="P30" s="11"/>
      <c r="Q30" s="304" t="str">
        <f>'Start page'!D30</f>
        <v>• Missing information – Enter Project Acronym/name</v>
      </c>
      <c r="R30" s="304"/>
      <c r="S30" s="304"/>
      <c r="T30" s="304"/>
      <c r="U30" s="304"/>
      <c r="V30" s="304"/>
      <c r="W30" s="304"/>
      <c r="X30" s="304"/>
      <c r="Y30" s="304"/>
      <c r="Z30" s="304"/>
      <c r="AA30" s="304"/>
      <c r="AB30" s="304"/>
      <c r="AC30" s="304"/>
      <c r="AD30" s="304"/>
      <c r="AE30" s="304"/>
      <c r="AF30" s="304"/>
      <c r="AG30" s="304"/>
      <c r="AH30" s="304"/>
      <c r="AI30" s="304"/>
      <c r="AJ30" s="49"/>
      <c r="AK30" s="298" t="s">
        <v>50</v>
      </c>
      <c r="AL30" s="299"/>
    </row>
    <row r="31" spans="2:38" ht="15.5" x14ac:dyDescent="0.35">
      <c r="B31" s="82" t="s">
        <v>45</v>
      </c>
      <c r="C31" s="6"/>
      <c r="D31" s="6"/>
      <c r="E31" s="6"/>
      <c r="F31" s="11"/>
      <c r="G31" s="11"/>
      <c r="H31" s="11"/>
      <c r="I31" s="60"/>
      <c r="J31" s="11"/>
      <c r="K31" s="11"/>
      <c r="L31" s="60"/>
      <c r="M31" s="11"/>
      <c r="N31" s="11"/>
      <c r="O31" s="11"/>
      <c r="P31" s="11"/>
      <c r="Q31" s="312"/>
      <c r="R31" s="312"/>
      <c r="S31" s="312"/>
      <c r="T31" s="312"/>
      <c r="U31" s="312"/>
      <c r="V31" s="312"/>
      <c r="W31" s="312"/>
      <c r="X31" s="312"/>
      <c r="Y31" s="312"/>
      <c r="Z31" s="312"/>
      <c r="AA31" s="312"/>
      <c r="AB31" s="312"/>
      <c r="AC31" s="312"/>
      <c r="AD31" s="312"/>
      <c r="AE31" s="312"/>
      <c r="AF31" s="312"/>
      <c r="AG31" s="312"/>
      <c r="AH31" s="312"/>
      <c r="AI31" s="312"/>
      <c r="AJ31" s="49"/>
      <c r="AK31" s="138">
        <v>1</v>
      </c>
      <c r="AL31" s="139" t="s">
        <v>51</v>
      </c>
    </row>
    <row r="32" spans="2:38" ht="15.5" x14ac:dyDescent="0.35">
      <c r="B32" s="83" t="s">
        <v>45</v>
      </c>
      <c r="C32" s="6"/>
      <c r="D32" s="84"/>
      <c r="E32" s="85"/>
      <c r="F32" s="51"/>
      <c r="G32" s="51"/>
      <c r="H32" s="51"/>
      <c r="I32" s="51"/>
      <c r="J32" s="51"/>
      <c r="K32" s="51"/>
      <c r="L32" s="11"/>
      <c r="M32" s="11"/>
      <c r="N32" s="11"/>
      <c r="O32" s="11"/>
      <c r="P32" s="11"/>
      <c r="S32" s="11"/>
      <c r="T32" s="11"/>
      <c r="U32" s="11"/>
      <c r="V32" s="11"/>
      <c r="W32" s="11"/>
      <c r="X32" s="309"/>
      <c r="Y32" s="309"/>
      <c r="Z32" s="309"/>
      <c r="AA32" s="309"/>
      <c r="AB32" s="310"/>
      <c r="AC32" s="310"/>
      <c r="AD32" s="49"/>
      <c r="AE32" s="309"/>
      <c r="AF32" s="309"/>
      <c r="AG32" s="309"/>
      <c r="AH32" s="309"/>
      <c r="AI32" s="11"/>
      <c r="AJ32" s="11"/>
      <c r="AK32" s="140">
        <v>2</v>
      </c>
      <c r="AL32" s="141" t="s">
        <v>52</v>
      </c>
    </row>
    <row r="33" spans="2:38" ht="15.5" x14ac:dyDescent="0.35">
      <c r="B33" s="86">
        <f>Member</f>
        <v>0</v>
      </c>
      <c r="C33" s="6"/>
      <c r="D33" s="6">
        <f>Supervisor</f>
        <v>0</v>
      </c>
      <c r="E33" s="6"/>
      <c r="F33" s="11"/>
      <c r="G33" s="11"/>
      <c r="H33" s="11"/>
      <c r="I33" s="11"/>
      <c r="J33" s="11"/>
      <c r="K33" s="11"/>
      <c r="L33" s="11"/>
      <c r="M33" s="11"/>
      <c r="N33" s="11"/>
      <c r="O33" s="11"/>
      <c r="P33" s="11"/>
      <c r="Q33" s="312" t="str">
        <f>'Start page'!D6</f>
        <v>• Missing information – Fill in all names and title/function on the Start Page</v>
      </c>
      <c r="R33" s="312"/>
      <c r="S33" s="312"/>
      <c r="T33" s="312"/>
      <c r="U33" s="312"/>
      <c r="V33" s="312"/>
      <c r="W33" s="312"/>
      <c r="X33" s="312"/>
      <c r="Y33" s="312"/>
      <c r="Z33" s="312"/>
      <c r="AA33" s="312"/>
      <c r="AB33" s="312"/>
      <c r="AC33" s="312"/>
      <c r="AD33" s="312"/>
      <c r="AE33" s="312"/>
      <c r="AF33" s="312"/>
      <c r="AG33" s="312"/>
      <c r="AH33" s="312"/>
      <c r="AI33" s="312"/>
      <c r="AJ33" s="312"/>
      <c r="AK33" s="313"/>
    </row>
    <row r="34" spans="2:38" ht="15.5" x14ac:dyDescent="0.35">
      <c r="B34" s="5">
        <f>Title.member</f>
        <v>0</v>
      </c>
      <c r="C34" s="6"/>
      <c r="D34" s="6">
        <f>Title.supervisor</f>
        <v>0</v>
      </c>
      <c r="E34" s="6"/>
      <c r="F34" s="11"/>
      <c r="G34" s="50"/>
      <c r="H34" s="11"/>
      <c r="I34" s="11"/>
      <c r="J34" s="11"/>
      <c r="K34" s="11"/>
      <c r="L34" s="11"/>
      <c r="M34" s="11"/>
      <c r="N34" s="11"/>
      <c r="O34" s="11"/>
      <c r="P34" s="11"/>
      <c r="S34" s="11"/>
      <c r="T34" s="11"/>
      <c r="U34" s="11"/>
      <c r="V34" s="11"/>
      <c r="W34" s="11"/>
      <c r="X34" s="50"/>
      <c r="Y34" s="50"/>
      <c r="Z34" s="50"/>
      <c r="AA34" s="50"/>
      <c r="AB34" s="61"/>
      <c r="AC34" s="61"/>
      <c r="AD34" s="49"/>
      <c r="AE34" s="62"/>
      <c r="AF34" s="62"/>
      <c r="AG34" s="62"/>
      <c r="AH34" s="62"/>
      <c r="AI34" s="11"/>
    </row>
    <row r="35" spans="2:38" ht="15.5" x14ac:dyDescent="0.35">
      <c r="B35" s="5">
        <f>'Start page'!J4</f>
        <v>0</v>
      </c>
      <c r="C35" s="6"/>
      <c r="D35" s="6">
        <f>'Start page'!J5</f>
        <v>0</v>
      </c>
      <c r="E35" s="6"/>
      <c r="F35" s="11"/>
      <c r="G35" s="50"/>
      <c r="H35" s="11"/>
      <c r="I35" s="11"/>
      <c r="J35" s="11"/>
      <c r="K35" s="11"/>
      <c r="L35" s="11"/>
      <c r="M35" s="11"/>
      <c r="N35" s="11"/>
      <c r="O35" s="11"/>
      <c r="P35" s="11"/>
      <c r="S35" s="11"/>
      <c r="T35" s="11"/>
      <c r="U35" s="11"/>
      <c r="V35" s="11"/>
      <c r="W35" s="11"/>
      <c r="X35" s="50"/>
      <c r="Y35" s="50"/>
      <c r="Z35" s="50"/>
      <c r="AA35" s="50"/>
      <c r="AB35" s="61"/>
      <c r="AC35" s="61"/>
      <c r="AD35" s="49"/>
      <c r="AE35" s="62"/>
      <c r="AF35" s="62"/>
      <c r="AG35" s="62"/>
      <c r="AH35" s="62"/>
      <c r="AI35" s="11"/>
    </row>
    <row r="36" spans="2:38" ht="15.75" customHeight="1" x14ac:dyDescent="0.35">
      <c r="B36" s="5" t="s">
        <v>53</v>
      </c>
      <c r="C36" s="6"/>
      <c r="D36" s="6" t="s">
        <v>54</v>
      </c>
      <c r="E36" s="6"/>
      <c r="F36" s="11"/>
      <c r="G36" s="50"/>
      <c r="H36" s="11"/>
      <c r="I36" s="11"/>
      <c r="J36" s="11"/>
      <c r="K36" s="11"/>
      <c r="L36" s="11"/>
      <c r="M36" s="11"/>
      <c r="N36" s="11"/>
      <c r="O36" s="11"/>
      <c r="P36" s="11"/>
      <c r="Q36" s="311" t="s">
        <v>55</v>
      </c>
      <c r="R36" s="311"/>
      <c r="S36" s="311"/>
      <c r="T36" s="311"/>
      <c r="U36" s="311"/>
      <c r="V36" s="311"/>
      <c r="W36" s="311"/>
      <c r="X36" s="311"/>
      <c r="Y36" s="311"/>
      <c r="Z36" s="311"/>
      <c r="AB36" s="311" t="s">
        <v>268</v>
      </c>
      <c r="AC36" s="311"/>
      <c r="AD36" s="311"/>
      <c r="AE36" s="311"/>
      <c r="AF36" s="311"/>
      <c r="AG36" s="311"/>
      <c r="AH36" s="311"/>
      <c r="AI36" s="311"/>
      <c r="AJ36" s="311"/>
      <c r="AK36" s="311"/>
      <c r="AL36" s="311"/>
    </row>
    <row r="37" spans="2:38" ht="15.75" customHeight="1" x14ac:dyDescent="0.35">
      <c r="B37" s="5"/>
      <c r="C37" s="6"/>
      <c r="D37" s="6"/>
      <c r="E37" s="6"/>
      <c r="F37" s="11"/>
      <c r="G37" s="50"/>
      <c r="H37" s="11"/>
      <c r="I37" s="11"/>
      <c r="J37" s="11"/>
      <c r="K37" s="11"/>
      <c r="L37" s="11"/>
      <c r="M37" s="11"/>
      <c r="N37" s="11"/>
      <c r="O37" s="11"/>
      <c r="P37" s="11"/>
      <c r="Q37" s="311"/>
      <c r="R37" s="311"/>
      <c r="S37" s="311"/>
      <c r="T37" s="311"/>
      <c r="U37" s="311"/>
      <c r="V37" s="311"/>
      <c r="W37" s="311"/>
      <c r="X37" s="311"/>
      <c r="Y37" s="311"/>
      <c r="Z37" s="311"/>
      <c r="AB37" s="311"/>
      <c r="AC37" s="311"/>
      <c r="AD37" s="311"/>
      <c r="AE37" s="311"/>
      <c r="AF37" s="311"/>
      <c r="AG37" s="311"/>
      <c r="AH37" s="311"/>
      <c r="AI37" s="311"/>
      <c r="AJ37" s="311"/>
      <c r="AK37" s="311"/>
      <c r="AL37" s="311"/>
    </row>
    <row r="38" spans="2:38" ht="36" customHeight="1" x14ac:dyDescent="0.35">
      <c r="B38" s="83" t="s">
        <v>45</v>
      </c>
      <c r="C38" s="6"/>
      <c r="D38" s="84"/>
      <c r="E38" s="87" t="s">
        <v>45</v>
      </c>
      <c r="F38" s="51"/>
      <c r="G38" s="51"/>
      <c r="H38" s="51"/>
      <c r="I38" s="51"/>
      <c r="J38" s="51"/>
      <c r="K38" s="51"/>
      <c r="L38" s="11"/>
      <c r="M38" s="11"/>
      <c r="N38" s="11"/>
      <c r="O38" s="11"/>
      <c r="P38" s="11"/>
      <c r="Q38" s="311"/>
      <c r="R38" s="311"/>
      <c r="S38" s="311"/>
      <c r="T38" s="311"/>
      <c r="U38" s="311"/>
      <c r="V38" s="311"/>
      <c r="W38" s="311"/>
      <c r="X38" s="311"/>
      <c r="Y38" s="311"/>
      <c r="Z38" s="311"/>
      <c r="AB38" s="311"/>
      <c r="AC38" s="311"/>
      <c r="AD38" s="311"/>
      <c r="AE38" s="311"/>
      <c r="AF38" s="311"/>
      <c r="AG38" s="311"/>
      <c r="AH38" s="311"/>
      <c r="AI38" s="311"/>
      <c r="AJ38" s="311"/>
      <c r="AK38" s="311"/>
      <c r="AL38" s="311"/>
    </row>
    <row r="39" spans="2:38" ht="19.5" customHeight="1" x14ac:dyDescent="0.35">
      <c r="B39" s="86" t="s">
        <v>57</v>
      </c>
      <c r="C39" s="6"/>
      <c r="D39" s="6" t="s">
        <v>57</v>
      </c>
      <c r="E39" s="6"/>
      <c r="F39" s="11"/>
      <c r="G39" s="11"/>
      <c r="H39" s="11"/>
      <c r="I39" s="11"/>
      <c r="J39" s="11"/>
      <c r="K39" s="11"/>
      <c r="L39" s="11"/>
      <c r="M39" s="11"/>
      <c r="N39" s="11"/>
      <c r="O39" s="11"/>
      <c r="P39" s="11"/>
    </row>
    <row r="40" spans="2:38" ht="14.5" x14ac:dyDescent="0.35">
      <c r="B40" s="9" t="s">
        <v>45</v>
      </c>
      <c r="C40" s="9">
        <f>ROW()</f>
        <v>40</v>
      </c>
    </row>
    <row r="41" spans="2:38" ht="14.5" x14ac:dyDescent="0.35">
      <c r="AC41" s="307"/>
      <c r="AD41" s="308"/>
      <c r="AE41" s="308"/>
      <c r="AF41" s="308"/>
      <c r="AG41" s="308"/>
      <c r="AH41" s="308"/>
    </row>
    <row r="42" spans="2:38" ht="14.5" customHeight="1" x14ac:dyDescent="0.35">
      <c r="AC42" s="307"/>
      <c r="AD42" s="308"/>
      <c r="AE42" s="308"/>
      <c r="AF42" s="308"/>
      <c r="AG42" s="308"/>
      <c r="AH42" s="308"/>
    </row>
    <row r="43" spans="2:38" ht="14.5" customHeight="1" x14ac:dyDescent="0.35">
      <c r="AC43" s="307"/>
      <c r="AD43" s="308"/>
      <c r="AE43" s="308"/>
      <c r="AF43" s="308"/>
      <c r="AG43" s="308"/>
      <c r="AH43" s="308"/>
    </row>
    <row r="44" spans="2:38" ht="14.5" x14ac:dyDescent="0.35"/>
    <row r="45" spans="2:38" ht="14.5" x14ac:dyDescent="0.35"/>
    <row r="46" spans="2:38" ht="14.5" x14ac:dyDescent="0.35"/>
    <row r="47" spans="2:38" ht="14.5" x14ac:dyDescent="0.35"/>
    <row r="48" spans="2:38" ht="14.5" x14ac:dyDescent="0.35"/>
    <row r="49" ht="14.5" x14ac:dyDescent="0.35"/>
    <row r="50" ht="14.5" x14ac:dyDescent="0.35"/>
    <row r="51" ht="14.5" x14ac:dyDescent="0.35"/>
    <row r="52" ht="14.5" x14ac:dyDescent="0.35"/>
    <row r="53" ht="14.5" x14ac:dyDescent="0.35"/>
    <row r="54" ht="14.5" x14ac:dyDescent="0.35"/>
    <row r="55" ht="14.5" x14ac:dyDescent="0.35"/>
    <row r="56" ht="14.5" x14ac:dyDescent="0.35"/>
    <row r="57" ht="14.5" x14ac:dyDescent="0.35"/>
    <row r="58" ht="14.5" x14ac:dyDescent="0.35"/>
    <row r="59" ht="14.5" x14ac:dyDescent="0.35"/>
    <row r="60" ht="14.5" x14ac:dyDescent="0.35"/>
    <row r="61" ht="14.5" x14ac:dyDescent="0.35"/>
    <row r="62" ht="14.5" x14ac:dyDescent="0.35"/>
    <row r="63" ht="14.5" x14ac:dyDescent="0.35"/>
    <row r="64" ht="14.5" x14ac:dyDescent="0.35"/>
    <row r="65" ht="14.5" x14ac:dyDescent="0.35"/>
    <row r="66" ht="14.5" x14ac:dyDescent="0.35"/>
    <row r="67" ht="14.5" x14ac:dyDescent="0.35"/>
    <row r="68" ht="14.5" x14ac:dyDescent="0.35"/>
    <row r="69" ht="14.5" x14ac:dyDescent="0.35"/>
    <row r="70" ht="14.5" x14ac:dyDescent="0.35"/>
    <row r="71" ht="14.5" x14ac:dyDescent="0.35"/>
    <row r="72" ht="14.5" x14ac:dyDescent="0.35"/>
    <row r="73" ht="14.5" x14ac:dyDescent="0.35"/>
    <row r="74" ht="14.5" x14ac:dyDescent="0.35"/>
    <row r="75" ht="14.5" x14ac:dyDescent="0.35"/>
    <row r="76" ht="14.5" x14ac:dyDescent="0.35"/>
    <row r="77" ht="14.5" x14ac:dyDescent="0.35"/>
    <row r="78" ht="14.5" x14ac:dyDescent="0.35"/>
    <row r="79" ht="14.5" x14ac:dyDescent="0.35"/>
    <row r="80" ht="14.5" x14ac:dyDescent="0.35"/>
    <row r="81" ht="14.5" x14ac:dyDescent="0.35"/>
    <row r="82" ht="14.5" x14ac:dyDescent="0.35"/>
    <row r="83" ht="14.5" x14ac:dyDescent="0.35"/>
    <row r="84" ht="14.5" x14ac:dyDescent="0.35"/>
    <row r="85" ht="14.5" x14ac:dyDescent="0.35"/>
    <row r="86" ht="14.5" x14ac:dyDescent="0.35"/>
    <row r="87" ht="14.5" x14ac:dyDescent="0.35"/>
    <row r="88" ht="14.5" x14ac:dyDescent="0.35"/>
    <row r="89" ht="14.5" x14ac:dyDescent="0.35"/>
    <row r="90" ht="14.5" x14ac:dyDescent="0.35"/>
    <row r="91" ht="14.5" x14ac:dyDescent="0.35"/>
    <row r="92" ht="14.5" x14ac:dyDescent="0.35"/>
    <row r="93" ht="14.5" x14ac:dyDescent="0.35"/>
    <row r="94" ht="14.5" x14ac:dyDescent="0.35"/>
    <row r="95" ht="14.5" x14ac:dyDescent="0.35"/>
    <row r="96" ht="14.5" x14ac:dyDescent="0.35"/>
    <row r="97" ht="14.5" x14ac:dyDescent="0.35"/>
    <row r="98" ht="14.5" x14ac:dyDescent="0.35"/>
    <row r="99" ht="14.5" x14ac:dyDescent="0.35"/>
    <row r="100" ht="14.5" x14ac:dyDescent="0.35"/>
    <row r="101" ht="14.5" x14ac:dyDescent="0.35"/>
    <row r="102" ht="14.5" x14ac:dyDescent="0.35"/>
    <row r="103" ht="14.5" x14ac:dyDescent="0.35"/>
    <row r="104" ht="14.5" x14ac:dyDescent="0.35"/>
    <row r="105" ht="14.5" x14ac:dyDescent="0.35"/>
    <row r="106" ht="14.5" x14ac:dyDescent="0.35"/>
    <row r="107" ht="14.5" x14ac:dyDescent="0.35"/>
    <row r="108" ht="14.5" x14ac:dyDescent="0.35"/>
    <row r="109" ht="14.5" x14ac:dyDescent="0.35"/>
    <row r="110" ht="14.5" x14ac:dyDescent="0.35"/>
    <row r="111" ht="14.5" x14ac:dyDescent="0.35"/>
    <row r="112" ht="14.5" x14ac:dyDescent="0.35"/>
    <row r="113" ht="14.5" x14ac:dyDescent="0.35"/>
    <row r="114" ht="14.5" x14ac:dyDescent="0.35"/>
    <row r="115" ht="14.5" x14ac:dyDescent="0.35"/>
    <row r="116" ht="14.5" x14ac:dyDescent="0.35"/>
    <row r="117" ht="14.5" x14ac:dyDescent="0.35"/>
    <row r="118" ht="14.5" x14ac:dyDescent="0.35"/>
    <row r="119" ht="14.5" x14ac:dyDescent="0.35"/>
    <row r="120" ht="14.5" x14ac:dyDescent="0.35"/>
    <row r="121" ht="14.5" x14ac:dyDescent="0.35"/>
    <row r="122" ht="14.5" x14ac:dyDescent="0.35"/>
    <row r="123" ht="14.5" x14ac:dyDescent="0.35"/>
    <row r="124" ht="14.5" x14ac:dyDescent="0.35"/>
    <row r="125" ht="14.5" x14ac:dyDescent="0.35"/>
    <row r="126" ht="14.5" x14ac:dyDescent="0.35"/>
    <row r="127" ht="14.5" x14ac:dyDescent="0.35"/>
    <row r="128" ht="14.5" x14ac:dyDescent="0.35"/>
    <row r="129" ht="14.5" x14ac:dyDescent="0.35"/>
    <row r="130" ht="14.5" x14ac:dyDescent="0.35"/>
    <row r="131" ht="14.5" x14ac:dyDescent="0.35"/>
    <row r="132" ht="14.5" x14ac:dyDescent="0.35"/>
    <row r="133" ht="14.5" x14ac:dyDescent="0.35"/>
    <row r="134" ht="14.5" x14ac:dyDescent="0.35"/>
    <row r="135" ht="14.5" x14ac:dyDescent="0.35"/>
    <row r="136" ht="14.5" x14ac:dyDescent="0.35"/>
    <row r="137" ht="14.5" x14ac:dyDescent="0.35"/>
    <row r="138" ht="14.5" x14ac:dyDescent="0.35"/>
    <row r="139" ht="14.5" x14ac:dyDescent="0.35"/>
    <row r="140" ht="14.5" x14ac:dyDescent="0.35"/>
    <row r="141" ht="14.5" x14ac:dyDescent="0.35"/>
    <row r="142" ht="14.5" x14ac:dyDescent="0.35"/>
    <row r="143" ht="14.5" x14ac:dyDescent="0.35"/>
    <row r="144" ht="14.5" x14ac:dyDescent="0.35"/>
    <row r="145" ht="14.5" x14ac:dyDescent="0.35"/>
    <row r="146" ht="14.5" x14ac:dyDescent="0.35"/>
    <row r="147" ht="14.5" x14ac:dyDescent="0.35"/>
    <row r="148" ht="14.5" x14ac:dyDescent="0.35"/>
    <row r="149" ht="14.5" x14ac:dyDescent="0.35"/>
    <row r="150" ht="14.5" x14ac:dyDescent="0.35"/>
    <row r="151" ht="14.5" x14ac:dyDescent="0.35"/>
    <row r="152" ht="14.5" x14ac:dyDescent="0.35"/>
    <row r="153" ht="14.5" x14ac:dyDescent="0.35"/>
    <row r="154" ht="14.5" x14ac:dyDescent="0.35"/>
    <row r="155" ht="14.5" x14ac:dyDescent="0.35"/>
    <row r="156" ht="14.5" x14ac:dyDescent="0.35"/>
    <row r="157" ht="14.5" x14ac:dyDescent="0.35"/>
    <row r="158" ht="14.5" x14ac:dyDescent="0.35"/>
    <row r="159" ht="14.5" x14ac:dyDescent="0.35"/>
    <row r="160" ht="14.5" x14ac:dyDescent="0.35"/>
    <row r="161" ht="15" customHeight="1" x14ac:dyDescent="0.35"/>
    <row r="162" ht="15" customHeight="1" x14ac:dyDescent="0.35"/>
    <row r="163" ht="15" customHeight="1" x14ac:dyDescent="0.35"/>
    <row r="164" ht="15" customHeight="1" x14ac:dyDescent="0.35"/>
    <row r="165" ht="15" customHeight="1" x14ac:dyDescent="0.35"/>
  </sheetData>
  <sheetProtection algorithmName="SHA-512" hashValue="0oce+M1lKDwNgjrv0yklgb2Kri2GHopyCG7OAjLsZzD58fLvTK9f+lKBQM2UQ8zwVsWCVjR0KfGymd1KyTaWPw==" saltValue="q0bNf9rYcjbwpLCkPK6sxg==" spinCount="100000" sheet="1" selectLockedCells="1"/>
  <mergeCells count="34">
    <mergeCell ref="B14:C14"/>
    <mergeCell ref="B15:C15"/>
    <mergeCell ref="B16:C16"/>
    <mergeCell ref="B17:C17"/>
    <mergeCell ref="Q33:AK33"/>
    <mergeCell ref="Q31:AI31"/>
    <mergeCell ref="AK30:AL30"/>
    <mergeCell ref="B18:C18"/>
    <mergeCell ref="B19:C19"/>
    <mergeCell ref="B21:C21"/>
    <mergeCell ref="B22:C22"/>
    <mergeCell ref="B23:C23"/>
    <mergeCell ref="B20:C20"/>
    <mergeCell ref="Q30:AI30"/>
    <mergeCell ref="B9:C9"/>
    <mergeCell ref="B10:C10"/>
    <mergeCell ref="B11:C11"/>
    <mergeCell ref="B12:C12"/>
    <mergeCell ref="B13:C13"/>
    <mergeCell ref="B8:C8"/>
    <mergeCell ref="B4:C4"/>
    <mergeCell ref="B5:C5"/>
    <mergeCell ref="B6:C6"/>
    <mergeCell ref="B7:C7"/>
    <mergeCell ref="AC41:AH41"/>
    <mergeCell ref="AC42:AH42"/>
    <mergeCell ref="AC43:AH43"/>
    <mergeCell ref="B26:C26"/>
    <mergeCell ref="B28:C28"/>
    <mergeCell ref="X32:AA32"/>
    <mergeCell ref="AB32:AC32"/>
    <mergeCell ref="AE32:AH32"/>
    <mergeCell ref="Q36:Z38"/>
    <mergeCell ref="AB36:AL38"/>
  </mergeCells>
  <conditionalFormatting sqref="B4:C23">
    <cfRule type="containsText" dxfId="292" priority="1" operator="containsText" text="Erasmus+">
      <formula>NOT(ISERROR(SEARCH("Erasmus+",B4)))</formula>
    </cfRule>
    <cfRule type="containsText" dxfId="290" priority="3" operator="containsText" text="Other US">
      <formula>NOT(ISERROR(SEARCH("Other US",B4)))</formula>
    </cfRule>
    <cfRule type="containsText" dxfId="289" priority="4" operator="containsText" text="US Army">
      <formula>NOT(ISERROR(SEARCH("US Army",B4)))</formula>
    </cfRule>
    <cfRule type="containsText" dxfId="287" priority="6" operator="containsText" text="NIH">
      <formula>NOT(ISERROR(SEARCH("NIH",B4)))</formula>
    </cfRule>
    <cfRule type="containsText" dxfId="286" priority="7" operator="containsText" text="FP7">
      <formula>NOT(ISERROR(SEARCH("FP7",B4)))</formula>
    </cfRule>
    <cfRule type="containsText" dxfId="285" priority="8" operator="containsText" text="H2020">
      <formula>NOT(ISERROR(SEARCH("H2020",B4)))</formula>
    </cfRule>
    <cfRule type="containsText" dxfId="284" priority="9" operator="containsText" text="Sida">
      <formula>NOT(ISERROR(SEARCH("Sida",B4)))</formula>
    </cfRule>
    <cfRule type="containsText" dxfId="283" priority="10" operator="containsText" text="Other">
      <formula>NOT(ISERROR(SEARCH("Other",B4)))</formula>
    </cfRule>
  </conditionalFormatting>
  <conditionalFormatting sqref="D25">
    <cfRule type="iconSet" priority="126">
      <iconSet iconSet="3Flags">
        <cfvo type="percent" val="0"/>
        <cfvo type="percent" val="33"/>
        <cfvo type="percent" val="67"/>
      </iconSet>
    </cfRule>
    <cfRule type="iconSet" priority="125">
      <iconSet iconSet="3Flags">
        <cfvo type="percent" val="0"/>
        <cfvo type="percent" val="33"/>
        <cfvo type="percent" val="67"/>
      </iconSet>
    </cfRule>
  </conditionalFormatting>
  <conditionalFormatting sqref="D3:AH3">
    <cfRule type="expression" dxfId="282" priority="69">
      <formula>AND(INDEX(INDIRECT("Shortened[WorkHours]"),MATCH(D3,INDIRECT("Shortened[DateInYear]"),0),0)&gt;0,INDEX(INDIRECT("Shortened[WorkHours]"),MATCH(D3,INDIRECT("Shortened[DateInYear]"),0),0)&lt;8)</formula>
    </cfRule>
    <cfRule type="expression" dxfId="281" priority="70">
      <formula>MATCH(D3,INDIRECT("Fixed_dates[DateInYear]"),0)&gt;0</formula>
    </cfRule>
    <cfRule type="expression" dxfId="280" priority="71">
      <formula>MATCH(D3,INDIRECT("Fixed_weekdays[DateInYear]"),0)&gt;0</formula>
    </cfRule>
    <cfRule type="expression" dxfId="279" priority="65">
      <formula>OR(WEEKDAY(D3,2)=6,WEEKDAY(D3,2)=7)</formula>
    </cfRule>
    <cfRule type="expression" dxfId="278" priority="66">
      <formula>INDEX(INDIRECT("Shortened[WorkHours]"),MATCH(D3,INDIRECT("Shortened[DateInYear]"),0),0)&gt;7</formula>
    </cfRule>
    <cfRule type="expression" dxfId="277" priority="67">
      <formula>INDEX(INDIRECT("Clamp[WorkHours]"),MATCH(D3,INDIRECT("Clamp[DateInYear]"),0),0)&gt;7</formula>
    </cfRule>
    <cfRule type="expression" dxfId="276" priority="68">
      <formula>AND(INDEX(INDIRECT("Clamp[WorkHours]"),MATCH(C3,INDIRECT("Clamp[DateInYear]"),0),0)&gt;0,INDEX(INDIRECT("Clamp[WorkHours]"),MATCH(C3,INDIRECT("Clamp[DateInYear]"),0),0)&lt;8)</formula>
    </cfRule>
  </conditionalFormatting>
  <conditionalFormatting sqref="D4:AH24">
    <cfRule type="expression" dxfId="275" priority="63">
      <formula>D$2</formula>
    </cfRule>
  </conditionalFormatting>
  <conditionalFormatting sqref="D26:AH26">
    <cfRule type="cellIs" dxfId="274" priority="112" operator="greaterThan">
      <formula>24</formula>
    </cfRule>
    <cfRule type="cellIs" dxfId="273" priority="113" operator="greaterThan">
      <formula>14</formula>
    </cfRule>
  </conditionalFormatting>
  <conditionalFormatting sqref="E25">
    <cfRule type="iconSet" priority="136">
      <iconSet iconSet="3Flags">
        <cfvo type="percent" val="0"/>
        <cfvo type="percent" val="33"/>
        <cfvo type="percent" val="67"/>
      </iconSet>
    </cfRule>
    <cfRule type="iconSet" priority="137">
      <iconSet iconSet="3Flags">
        <cfvo type="percent" val="0"/>
        <cfvo type="percent" val="33"/>
        <cfvo type="percent" val="67"/>
      </iconSet>
    </cfRule>
  </conditionalFormatting>
  <conditionalFormatting sqref="F25">
    <cfRule type="iconSet" priority="130">
      <iconSet iconSet="3Flags">
        <cfvo type="percent" val="0"/>
        <cfvo type="percent" val="33"/>
        <cfvo type="percent" val="67"/>
      </iconSet>
    </cfRule>
    <cfRule type="iconSet" priority="131">
      <iconSet iconSet="3Flags">
        <cfvo type="percent" val="0"/>
        <cfvo type="percent" val="33"/>
        <cfvo type="percent" val="67"/>
      </iconSet>
    </cfRule>
  </conditionalFormatting>
  <conditionalFormatting sqref="G25:AE25">
    <cfRule type="iconSet" priority="118">
      <iconSet iconSet="3Flags">
        <cfvo type="percent" val="0"/>
        <cfvo type="percent" val="33"/>
        <cfvo type="percent" val="67"/>
      </iconSet>
    </cfRule>
    <cfRule type="iconSet" priority="119">
      <iconSet iconSet="3Flags">
        <cfvo type="percent" val="0"/>
        <cfvo type="percent" val="33"/>
        <cfvo type="percent" val="67"/>
      </iconSet>
    </cfRule>
  </conditionalFormatting>
  <conditionalFormatting sqref="J24">
    <cfRule type="expression" dxfId="272" priority="64">
      <formula>J$2</formula>
    </cfRule>
  </conditionalFormatting>
  <conditionalFormatting sqref="AI34:AI35">
    <cfRule type="expression" dxfId="271" priority="59">
      <formula>AJ$2</formula>
    </cfRule>
  </conditionalFormatting>
  <dataValidations count="1">
    <dataValidation type="decimal" allowBlank="1" showInputMessage="1" showErrorMessage="1" errorTitle="ERROR !" error="You may report min 0,5 and max 24 hrs per WP or Project" sqref="D4:AF23" xr:uid="{00000000-0002-0000-0500-000000000000}">
      <formula1>0.5</formula1>
      <formula2>24</formula2>
    </dataValidation>
  </dataValidations>
  <printOptions horizontalCentered="1" verticalCentered="1"/>
  <pageMargins left="0.7" right="0.7" top="1.2072916666666667" bottom="0.75" header="0.45652173913043476" footer="0.3"/>
  <pageSetup paperSize="9" scale="47" orientation="landscape" r:id="rId1"/>
  <headerFooter>
    <oddHeader>&amp;L&amp;G&amp;C&amp;24TIMESHEET</oddHead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2" operator="containsText" id="{640D1134-1278-4235-9770-27B72D2C7BDE}">
            <xm:f>NOT(ISERROR(SEARCH("HEU",B4)))</xm:f>
            <xm:f>"HEU"</xm:f>
            <x14:dxf>
              <fill>
                <patternFill>
                  <bgColor theme="8" tint="0.79998168889431442"/>
                </patternFill>
              </fill>
            </x14:dxf>
          </x14:cfRule>
          <x14:cfRule type="containsText" priority="5" operator="containsText" id="{67D6AE81-B980-4988-9BC3-99C38F822F83}">
            <xm:f>NOT(ISERROR(SEARCH("Non-project",B4)))</xm:f>
            <xm:f>"Non-project"</xm:f>
            <x14:dxf>
              <fill>
                <patternFill>
                  <bgColor theme="6" tint="0.59996337778862885"/>
                </patternFill>
              </fill>
            </x14:dxf>
          </x14:cfRule>
          <xm:sqref>B4:C23</xm:sqref>
        </x14:conditionalFormatting>
        <x14:conditionalFormatting xmlns:xm="http://schemas.microsoft.com/office/excel/2006/main">
          <x14:cfRule type="iconSet" priority="124" id="{C9F834DE-D8A5-43EF-AD8B-843FDBB95E7E}">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D25</xm:sqref>
        </x14:conditionalFormatting>
        <x14:conditionalFormatting xmlns:xm="http://schemas.microsoft.com/office/excel/2006/main">
          <x14:cfRule type="iconSet" priority="135" id="{801202C0-D4F2-42CE-BDFC-DB674CE52D8A}">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E25</xm:sqref>
        </x14:conditionalFormatting>
        <x14:conditionalFormatting xmlns:xm="http://schemas.microsoft.com/office/excel/2006/main">
          <x14:cfRule type="iconSet" priority="129" id="{20C8A975-33F7-4932-BFB6-33FACB9D49ED}">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F25</xm:sqref>
        </x14:conditionalFormatting>
        <x14:conditionalFormatting xmlns:xm="http://schemas.microsoft.com/office/excel/2006/main">
          <x14:cfRule type="iconSet" priority="117" id="{BEB19EC4-EA7B-4998-948B-0BD8998ED32D}">
            <x14:iconSet iconSet="3Flags" showValue="0" custom="1">
              <x14:cfvo type="percent">
                <xm:f>0</xm:f>
              </x14:cfvo>
              <x14:cfvo type="num" gte="0">
                <xm:f>14</xm:f>
              </x14:cfvo>
              <x14:cfvo type="num" gte="0">
                <xm:f>24</xm:f>
              </x14:cfvo>
              <x14:cfIcon iconSet="NoIcons" iconId="0"/>
              <x14:cfIcon iconSet="3Flags" iconId="1"/>
              <x14:cfIcon iconSet="3Flags" iconId="0"/>
            </x14:iconSet>
          </x14:cfRule>
          <xm:sqref>G25:AE25</xm:sqref>
        </x14:conditionalFormatting>
        <x14:conditionalFormatting xmlns:xm="http://schemas.microsoft.com/office/excel/2006/main">
          <x14:cfRule type="iconSet" priority="56" id="{F61F8EF3-51EF-473B-AFFC-5F872134A80C}">
            <x14:iconSet iconSet="3Flags" showValue="0" custom="1">
              <x14:cfvo type="percent">
                <xm:f>0</xm:f>
              </x14:cfvo>
              <x14:cfvo type="num">
                <xm:f>0</xm:f>
              </x14:cfvo>
              <x14:cfvo type="num" gte="0">
                <xm:f>0</xm:f>
              </x14:cfvo>
              <x14:cfIcon iconSet="NoIcons" iconId="0"/>
              <x14:cfIcon iconSet="NoIcons" iconId="0"/>
              <x14:cfIcon iconSet="3Flags" iconId="1"/>
            </x14:iconSet>
          </x14:cfRule>
          <xm:sqref>AK30</xm:sqref>
        </x14:conditionalFormatting>
        <x14:conditionalFormatting xmlns:xm="http://schemas.microsoft.com/office/excel/2006/main">
          <x14:cfRule type="iconSet" priority="53" id="{76222B70-3150-48D2-A13A-512417AE9BA2}">
            <x14:iconSet iconSet="3Flags" showValue="0" custom="1">
              <x14:cfvo type="percent">
                <xm:f>0</xm:f>
              </x14:cfvo>
              <x14:cfvo type="num">
                <xm:f>0</xm:f>
              </x14:cfvo>
              <x14:cfvo type="num" gte="0">
                <xm:f>0</xm:f>
              </x14:cfvo>
              <x14:cfIcon iconSet="NoIcons" iconId="0"/>
              <x14:cfIcon iconSet="NoIcons" iconId="0"/>
              <x14:cfIcon iconSet="3Flags" iconId="1"/>
            </x14:iconSet>
          </x14:cfRule>
          <xm:sqref>AK31</xm:sqref>
        </x14:conditionalFormatting>
        <x14:conditionalFormatting xmlns:xm="http://schemas.microsoft.com/office/excel/2006/main">
          <x14:cfRule type="iconSet" priority="54" id="{807AC0A2-5444-4E58-BE6A-7E96B6EB43C8}">
            <x14:iconSet iconSet="3Flags" showValue="0" custom="1">
              <x14:cfvo type="percent">
                <xm:f>0</xm:f>
              </x14:cfvo>
              <x14:cfvo type="num">
                <xm:f>0</xm:f>
              </x14:cfvo>
              <x14:cfvo type="num" gte="0">
                <xm:f>0</xm:f>
              </x14:cfvo>
              <x14:cfIcon iconSet="NoIcons" iconId="0"/>
              <x14:cfIcon iconSet="NoIcons" iconId="0"/>
              <x14:cfIcon iconSet="3Flags" iconId="0"/>
            </x14:iconSet>
          </x14:cfRule>
          <xm:sqref>AK32</xm:sqref>
        </x14:conditionalFormatting>
      </x14:conditionalFormattings>
    </ext>
  </extLst>
</worksheet>
</file>

<file path=customUI/customUI.xml><?xml version="1.0" encoding="utf-8"?>
<customUI xmlns="http://schemas.microsoft.com/office/2006/01/customui">
  <commands>
    <command idMso="SheetMoveOrCopy" enabled="false"/>
    <command idMso="SheetColumnsInsert" enabled="false"/>
    <command idMso="SheetColumnsDelete" enabled="false"/>
    <command idMso="Cut" enabled="false"/>
    <command idMso="PasteGallery" enabled="false"/>
    <command idMso="Paste" enabled="false"/>
    <command idMso="CellsInsertSmart" enabled="false"/>
    <command idMso="CellsInsertDialog" enabled="false"/>
    <command idMso="CellsDeleteSmart" enabled="false"/>
    <command idMso="CellsDelete" enabled="false"/>
  </commands>
  <ribbon startFromScratch="false">
    <tabs>
      <tab id="AloxABribbon1" label="Karolinska Institutet" keytip="O">
        <group id="AloxABgrupp1" label="Utskrift">
          <button idMso="FilePrintPreview" label="Förhands- granska" size="large"/>
          <button idMso="FilePrint" label="Skriv ut" size="large"/>
        </group>
        <group id="AloxABgrupp2" label="Visa / Dölj">
          <checkBox idMso="ViewSheetHeadings" label="Rad/Kolumnrubrik"/>
          <checkBox idMso="GridlinesExcel" label="Stödlinjer"/>
        </group>
        <group id="AloxABgrupp3">
          <menu id="AloxABm1" label="Info" size="large" imageMso="Info">
            <menuSeparator id="Sep4" title="Programbeskrivning"/>
            <button id="AloxABknappM2" imageMso="_I" label="Typ: Registrerings-/transaktionsverktyg." screentip=" "/>
            <button id="AloxABknappM3" imageMso="_I" label="Funktion: Tidsrapportering 2014." screentip=" "/>
            <menuSeparator id="Sep41" title="Kund"/>
            <button id="AloxABknappM4" imageMso="_I" label="Karolinska Institutet. ZZUFJANJEP." screentip=" "/>
            <menuSeparator id="Sep3" title="Leverantör"/>
            <button id="AloxABknappM5" imageMso="_I" label="Alox AB, David Grünstein,  www.alox.se" screentip=" "/>
          </menu>
        </group>
      </tab>
    </tabs>
  </ribbon>
</customUI>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7FD6BDAA952054EB02D18E67CD356BE" ma:contentTypeVersion="16" ma:contentTypeDescription="Skapa ett nytt dokument." ma:contentTypeScope="" ma:versionID="05d6ad63e1af5b66c05f85557ba3649b">
  <xsd:schema xmlns:xsd="http://www.w3.org/2001/XMLSchema" xmlns:xs="http://www.w3.org/2001/XMLSchema" xmlns:p="http://schemas.microsoft.com/office/2006/metadata/properties" xmlns:ns2="2a56247b-3027-4b0b-92c5-623f93638584" xmlns:ns3="72a34bbe-4535-4ea5-85fe-93d98a072191" targetNamespace="http://schemas.microsoft.com/office/2006/metadata/properties" ma:root="true" ma:fieldsID="6d90a56e5c0da3815681585f0ee6ede9" ns2:_="" ns3:_="">
    <xsd:import namespace="2a56247b-3027-4b0b-92c5-623f93638584"/>
    <xsd:import namespace="72a34bbe-4535-4ea5-85fe-93d98a07219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56247b-3027-4b0b-92c5-623f9363858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eringar" ma:readOnly="false" ma:fieldId="{5cf76f15-5ced-4ddc-b409-7134ff3c332f}" ma:taxonomyMulti="true" ma:sspId="d34d398b-60ba-4ad0-a6da-da1ce693b88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2a34bbe-4535-4ea5-85fe-93d98a072191" elementFormDefault="qualified">
    <xsd:import namespace="http://schemas.microsoft.com/office/2006/documentManagement/types"/>
    <xsd:import namespace="http://schemas.microsoft.com/office/infopath/2007/PartnerControls"/>
    <xsd:element name="SharedWithUsers" ma:index="16"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lat med information" ma:internalName="SharedWithDetails" ma:readOnly="true">
      <xsd:simpleType>
        <xsd:restriction base="dms:Note">
          <xsd:maxLength value="255"/>
        </xsd:restriction>
      </xsd:simpleType>
    </xsd:element>
    <xsd:element name="TaxCatchAll" ma:index="23" nillable="true" ma:displayName="Taxonomy Catch All Column" ma:hidden="true" ma:list="{0505ffe9-5745-40bd-b1bc-2ab58ac37365}" ma:internalName="TaxCatchAll" ma:showField="CatchAllData" ma:web="72a34bbe-4535-4ea5-85fe-93d98a072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a56247b-3027-4b0b-92c5-623f93638584">
      <Terms xmlns="http://schemas.microsoft.com/office/infopath/2007/PartnerControls"/>
    </lcf76f155ced4ddcb4097134ff3c332f>
    <TaxCatchAll xmlns="72a34bbe-4535-4ea5-85fe-93d98a072191" xsi:nil="true"/>
  </documentManagement>
</p:properties>
</file>

<file path=customXml/itemProps1.xml><?xml version="1.0" encoding="utf-8"?>
<ds:datastoreItem xmlns:ds="http://schemas.openxmlformats.org/officeDocument/2006/customXml" ds:itemID="{41BA64F6-855E-4F73-9602-E717884884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56247b-3027-4b0b-92c5-623f93638584"/>
    <ds:schemaRef ds:uri="72a34bbe-4535-4ea5-85fe-93d98a072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4519F3-E299-4BB0-9FEA-AECF80BD175D}">
  <ds:schemaRefs>
    <ds:schemaRef ds:uri="http://schemas.microsoft.com/sharepoint/v3/contenttype/forms"/>
  </ds:schemaRefs>
</ds:datastoreItem>
</file>

<file path=customXml/itemProps3.xml><?xml version="1.0" encoding="utf-8"?>
<ds:datastoreItem xmlns:ds="http://schemas.openxmlformats.org/officeDocument/2006/customXml" ds:itemID="{8FE5DADF-88AC-4C0F-BB95-3EC21163A3F2}">
  <ds:schemaRefs>
    <ds:schemaRef ds:uri="http://schemas.microsoft.com/office/2006/metadata/properties"/>
    <ds:schemaRef ds:uri="http://schemas.microsoft.com/office/infopath/2007/PartnerControls"/>
    <ds:schemaRef ds:uri="2a56247b-3027-4b0b-92c5-623f93638584"/>
    <ds:schemaRef ds:uri="72a34bbe-4535-4ea5-85fe-93d98a07219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365</vt:i4>
      </vt:variant>
    </vt:vector>
  </HeadingPairs>
  <TitlesOfParts>
    <vt:vector size="387" baseType="lpstr">
      <vt:lpstr>Instructions 2025</vt:lpstr>
      <vt:lpstr>Instructions</vt:lpstr>
      <vt:lpstr>Start page</vt:lpstr>
      <vt:lpstr>Ex1</vt:lpstr>
      <vt:lpstr>Example1</vt:lpstr>
      <vt:lpstr>Ex2</vt:lpstr>
      <vt:lpstr>Example2</vt:lpstr>
      <vt:lpstr>Jan</vt:lpstr>
      <vt:lpstr>Feb</vt:lpstr>
      <vt:lpstr>Mar</vt:lpstr>
      <vt:lpstr>Apr</vt:lpstr>
      <vt:lpstr>May</vt:lpstr>
      <vt:lpstr>Jun</vt:lpstr>
      <vt:lpstr>Jul</vt:lpstr>
      <vt:lpstr>Aug</vt:lpstr>
      <vt:lpstr>Sep</vt:lpstr>
      <vt:lpstr>Oct</vt:lpstr>
      <vt:lpstr>Nov</vt:lpstr>
      <vt:lpstr>Dec</vt:lpstr>
      <vt:lpstr>Definitions</vt:lpstr>
      <vt:lpstr>Overview</vt:lpstr>
      <vt:lpstr>Holidays</vt:lpstr>
      <vt:lpstr>Activity</vt:lpstr>
      <vt:lpstr>Activity.01</vt:lpstr>
      <vt:lpstr>Activity.02</vt:lpstr>
      <vt:lpstr>Activity.03</vt:lpstr>
      <vt:lpstr>Activity.04</vt:lpstr>
      <vt:lpstr>Activity.05</vt:lpstr>
      <vt:lpstr>Activity.06</vt:lpstr>
      <vt:lpstr>Activity.07</vt:lpstr>
      <vt:lpstr>Activity.08</vt:lpstr>
      <vt:lpstr>Activity.09</vt:lpstr>
      <vt:lpstr>Activity.10</vt:lpstr>
      <vt:lpstr>Activity.11</vt:lpstr>
      <vt:lpstr>Activity.12</vt:lpstr>
      <vt:lpstr>Activity.13</vt:lpstr>
      <vt:lpstr>Activity.14</vt:lpstr>
      <vt:lpstr>Activity.15</vt:lpstr>
      <vt:lpstr>Activity.16</vt:lpstr>
      <vt:lpstr>Activity.17</vt:lpstr>
      <vt:lpstr>Activity.18</vt:lpstr>
      <vt:lpstr>Activity.19</vt:lpstr>
      <vt:lpstr>Activity.20</vt:lpstr>
      <vt:lpstr>AprTot.01</vt:lpstr>
      <vt:lpstr>AprTot.02</vt:lpstr>
      <vt:lpstr>AprTot.03</vt:lpstr>
      <vt:lpstr>AprTot.04</vt:lpstr>
      <vt:lpstr>AprTot.05</vt:lpstr>
      <vt:lpstr>AprTot.06</vt:lpstr>
      <vt:lpstr>AprTot.07</vt:lpstr>
      <vt:lpstr>AprTot.08</vt:lpstr>
      <vt:lpstr>AprTot.09</vt:lpstr>
      <vt:lpstr>AprTot.10</vt:lpstr>
      <vt:lpstr>AprTot.11</vt:lpstr>
      <vt:lpstr>AprTot.12</vt:lpstr>
      <vt:lpstr>AprTot.13</vt:lpstr>
      <vt:lpstr>AprTot.14</vt:lpstr>
      <vt:lpstr>AprTot.15</vt:lpstr>
      <vt:lpstr>AprTot.16</vt:lpstr>
      <vt:lpstr>AprTot.17</vt:lpstr>
      <vt:lpstr>AprTot.18</vt:lpstr>
      <vt:lpstr>AprTot.19</vt:lpstr>
      <vt:lpstr>AprTot.20</vt:lpstr>
      <vt:lpstr>AugTot.01</vt:lpstr>
      <vt:lpstr>AugTot.02</vt:lpstr>
      <vt:lpstr>AugTot.03</vt:lpstr>
      <vt:lpstr>AugTot.04</vt:lpstr>
      <vt:lpstr>AugTot.05</vt:lpstr>
      <vt:lpstr>AugTot.06</vt:lpstr>
      <vt:lpstr>AugTot.07</vt:lpstr>
      <vt:lpstr>AugTot.08</vt:lpstr>
      <vt:lpstr>AugTot.09</vt:lpstr>
      <vt:lpstr>AugTot.10</vt:lpstr>
      <vt:lpstr>AugTot.11</vt:lpstr>
      <vt:lpstr>AugTot.12</vt:lpstr>
      <vt:lpstr>AugTot.13</vt:lpstr>
      <vt:lpstr>AugTot.14</vt:lpstr>
      <vt:lpstr>AugTot.15</vt:lpstr>
      <vt:lpstr>AugTot.16</vt:lpstr>
      <vt:lpstr>AugTot.17</vt:lpstr>
      <vt:lpstr>AugTot.18</vt:lpstr>
      <vt:lpstr>AugTot.19</vt:lpstr>
      <vt:lpstr>AugTot.20</vt:lpstr>
      <vt:lpstr>Contract.01</vt:lpstr>
      <vt:lpstr>Contract.02</vt:lpstr>
      <vt:lpstr>Contract.03</vt:lpstr>
      <vt:lpstr>Contract.04</vt:lpstr>
      <vt:lpstr>Contract.05</vt:lpstr>
      <vt:lpstr>Contract.06</vt:lpstr>
      <vt:lpstr>Contract.07</vt:lpstr>
      <vt:lpstr>Contract.08</vt:lpstr>
      <vt:lpstr>Contract.09</vt:lpstr>
      <vt:lpstr>Contract.10</vt:lpstr>
      <vt:lpstr>Contract.11</vt:lpstr>
      <vt:lpstr>Contract.12</vt:lpstr>
      <vt:lpstr>Contract.13</vt:lpstr>
      <vt:lpstr>Contract.14</vt:lpstr>
      <vt:lpstr>Contract.15</vt:lpstr>
      <vt:lpstr>Contract.16</vt:lpstr>
      <vt:lpstr>Contract.17</vt:lpstr>
      <vt:lpstr>Contract.18</vt:lpstr>
      <vt:lpstr>Contract.19</vt:lpstr>
      <vt:lpstr>Contract.20</vt:lpstr>
      <vt:lpstr>DecTot.01</vt:lpstr>
      <vt:lpstr>DecTot.02</vt:lpstr>
      <vt:lpstr>DecTot.03</vt:lpstr>
      <vt:lpstr>DecTot.04</vt:lpstr>
      <vt:lpstr>DecTot.05</vt:lpstr>
      <vt:lpstr>DecTot.06</vt:lpstr>
      <vt:lpstr>DecTot.07</vt:lpstr>
      <vt:lpstr>DecTot.08</vt:lpstr>
      <vt:lpstr>DecTot.09</vt:lpstr>
      <vt:lpstr>DecTot.10</vt:lpstr>
      <vt:lpstr>DecTot.11</vt:lpstr>
      <vt:lpstr>DecTot.12</vt:lpstr>
      <vt:lpstr>DecTot.13</vt:lpstr>
      <vt:lpstr>DecTot.14</vt:lpstr>
      <vt:lpstr>DecTot.15</vt:lpstr>
      <vt:lpstr>DecTot.16</vt:lpstr>
      <vt:lpstr>DecTot.17</vt:lpstr>
      <vt:lpstr>DecTot.18</vt:lpstr>
      <vt:lpstr>DecTot.19</vt:lpstr>
      <vt:lpstr>DecTot.20</vt:lpstr>
      <vt:lpstr>FebTot.01</vt:lpstr>
      <vt:lpstr>FebTot.02</vt:lpstr>
      <vt:lpstr>FebTot.03</vt:lpstr>
      <vt:lpstr>FebTot.04</vt:lpstr>
      <vt:lpstr>FebTot.05</vt:lpstr>
      <vt:lpstr>FebTot.06</vt:lpstr>
      <vt:lpstr>FebTot.07</vt:lpstr>
      <vt:lpstr>FebTot.08</vt:lpstr>
      <vt:lpstr>FebTot.09</vt:lpstr>
      <vt:lpstr>FebTot.10</vt:lpstr>
      <vt:lpstr>FebTot.11</vt:lpstr>
      <vt:lpstr>FebTot.12</vt:lpstr>
      <vt:lpstr>FebTot.13</vt:lpstr>
      <vt:lpstr>FebTot.14</vt:lpstr>
      <vt:lpstr>FebTot.15</vt:lpstr>
      <vt:lpstr>FebTot.16</vt:lpstr>
      <vt:lpstr>FebTot.17</vt:lpstr>
      <vt:lpstr>FebTot.18</vt:lpstr>
      <vt:lpstr>FebTot.19</vt:lpstr>
      <vt:lpstr>FebTot.20</vt:lpstr>
      <vt:lpstr>FebTot.7</vt:lpstr>
      <vt:lpstr>JanTot.01</vt:lpstr>
      <vt:lpstr>JanTot.02</vt:lpstr>
      <vt:lpstr>JanTot.03</vt:lpstr>
      <vt:lpstr>JanTot.04</vt:lpstr>
      <vt:lpstr>JanTot.05</vt:lpstr>
      <vt:lpstr>JanTot.06</vt:lpstr>
      <vt:lpstr>JanTot.07</vt:lpstr>
      <vt:lpstr>JanTot.08</vt:lpstr>
      <vt:lpstr>JanTot.09</vt:lpstr>
      <vt:lpstr>JanTot.10</vt:lpstr>
      <vt:lpstr>JanTot.11</vt:lpstr>
      <vt:lpstr>JanTot.12</vt:lpstr>
      <vt:lpstr>JanTot.13</vt:lpstr>
      <vt:lpstr>JanTot.14</vt:lpstr>
      <vt:lpstr>JanTot.15</vt:lpstr>
      <vt:lpstr>JanTot.16</vt:lpstr>
      <vt:lpstr>JanTot.17</vt:lpstr>
      <vt:lpstr>JanTot.18</vt:lpstr>
      <vt:lpstr>JanTot.19</vt:lpstr>
      <vt:lpstr>JanTot.20</vt:lpstr>
      <vt:lpstr>JulTot.01</vt:lpstr>
      <vt:lpstr>JulTot.02</vt:lpstr>
      <vt:lpstr>JulTot.03</vt:lpstr>
      <vt:lpstr>JulTot.04</vt:lpstr>
      <vt:lpstr>JulTot.05</vt:lpstr>
      <vt:lpstr>JulTot.06</vt:lpstr>
      <vt:lpstr>JulTot.07</vt:lpstr>
      <vt:lpstr>JulTot.08</vt:lpstr>
      <vt:lpstr>JulTot.09</vt:lpstr>
      <vt:lpstr>JulTot.10</vt:lpstr>
      <vt:lpstr>JulTot.11</vt:lpstr>
      <vt:lpstr>JulTot.12</vt:lpstr>
      <vt:lpstr>JulTot.13</vt:lpstr>
      <vt:lpstr>JulTot.14</vt:lpstr>
      <vt:lpstr>JulTot.15</vt:lpstr>
      <vt:lpstr>JulTot.16</vt:lpstr>
      <vt:lpstr>JulTot.17</vt:lpstr>
      <vt:lpstr>JulTot.18</vt:lpstr>
      <vt:lpstr>JulTot.19</vt:lpstr>
      <vt:lpstr>JulTot.20</vt:lpstr>
      <vt:lpstr>JunTot.01</vt:lpstr>
      <vt:lpstr>JunTot.02</vt:lpstr>
      <vt:lpstr>JunTot.03</vt:lpstr>
      <vt:lpstr>JunTot.04</vt:lpstr>
      <vt:lpstr>JunTot.05</vt:lpstr>
      <vt:lpstr>JunTot.06</vt:lpstr>
      <vt:lpstr>JunTot.07</vt:lpstr>
      <vt:lpstr>JunTot.08</vt:lpstr>
      <vt:lpstr>JunTot.09</vt:lpstr>
      <vt:lpstr>JunTot.10</vt:lpstr>
      <vt:lpstr>JunTot.11</vt:lpstr>
      <vt:lpstr>JunTot.12</vt:lpstr>
      <vt:lpstr>JunTot.13</vt:lpstr>
      <vt:lpstr>JunTot.14</vt:lpstr>
      <vt:lpstr>JunTot.15</vt:lpstr>
      <vt:lpstr>JunTot.16</vt:lpstr>
      <vt:lpstr>JunTot.17</vt:lpstr>
      <vt:lpstr>JunTot.18</vt:lpstr>
      <vt:lpstr>JunTot.19</vt:lpstr>
      <vt:lpstr>JunTot.20</vt:lpstr>
      <vt:lpstr>KI</vt:lpstr>
      <vt:lpstr>MarTot.01</vt:lpstr>
      <vt:lpstr>MarTot.02</vt:lpstr>
      <vt:lpstr>MarTot.03</vt:lpstr>
      <vt:lpstr>MarTot.04</vt:lpstr>
      <vt:lpstr>MarTot.05</vt:lpstr>
      <vt:lpstr>MarTot.06</vt:lpstr>
      <vt:lpstr>MarTot.07</vt:lpstr>
      <vt:lpstr>MarTot.08</vt:lpstr>
      <vt:lpstr>MarTot.09</vt:lpstr>
      <vt:lpstr>MarTot.10</vt:lpstr>
      <vt:lpstr>MarTot.11</vt:lpstr>
      <vt:lpstr>MarTot.12</vt:lpstr>
      <vt:lpstr>MarTot.13</vt:lpstr>
      <vt:lpstr>MarTot.14</vt:lpstr>
      <vt:lpstr>MarTot.15</vt:lpstr>
      <vt:lpstr>MarTot.16</vt:lpstr>
      <vt:lpstr>MarTot.17</vt:lpstr>
      <vt:lpstr>MarTot.18</vt:lpstr>
      <vt:lpstr>MarTot.19</vt:lpstr>
      <vt:lpstr>MarTot.20</vt:lpstr>
      <vt:lpstr>MayTot.01</vt:lpstr>
      <vt:lpstr>MayTot.02</vt:lpstr>
      <vt:lpstr>MayTot.03</vt:lpstr>
      <vt:lpstr>MayTot.04</vt:lpstr>
      <vt:lpstr>MayTot.05</vt:lpstr>
      <vt:lpstr>MayTot.06</vt:lpstr>
      <vt:lpstr>MayTot.07</vt:lpstr>
      <vt:lpstr>MayTot.08</vt:lpstr>
      <vt:lpstr>MayTot.09</vt:lpstr>
      <vt:lpstr>MayTot.10</vt:lpstr>
      <vt:lpstr>MayTot.11</vt:lpstr>
      <vt:lpstr>MayTot.12</vt:lpstr>
      <vt:lpstr>MayTot.13</vt:lpstr>
      <vt:lpstr>MayTot.14</vt:lpstr>
      <vt:lpstr>MayTot.15</vt:lpstr>
      <vt:lpstr>MayTot.16</vt:lpstr>
      <vt:lpstr>MayTot.17</vt:lpstr>
      <vt:lpstr>MayTot.18</vt:lpstr>
      <vt:lpstr>MayTot.19</vt:lpstr>
      <vt:lpstr>MayTot.20</vt:lpstr>
      <vt:lpstr>Member</vt:lpstr>
      <vt:lpstr>NovTot.01</vt:lpstr>
      <vt:lpstr>NovTot.02</vt:lpstr>
      <vt:lpstr>NovTot.03</vt:lpstr>
      <vt:lpstr>NovTot.04</vt:lpstr>
      <vt:lpstr>NovTot.05</vt:lpstr>
      <vt:lpstr>NovTot.06</vt:lpstr>
      <vt:lpstr>NovTot.07</vt:lpstr>
      <vt:lpstr>NovTot.08</vt:lpstr>
      <vt:lpstr>NovTot.09</vt:lpstr>
      <vt:lpstr>NovTot.10</vt:lpstr>
      <vt:lpstr>NovTot.11</vt:lpstr>
      <vt:lpstr>NovTot.12</vt:lpstr>
      <vt:lpstr>NovTot.13</vt:lpstr>
      <vt:lpstr>NovTot.14</vt:lpstr>
      <vt:lpstr>NovTot.15</vt:lpstr>
      <vt:lpstr>NovTot.16</vt:lpstr>
      <vt:lpstr>NovTot.17</vt:lpstr>
      <vt:lpstr>NovTot.18</vt:lpstr>
      <vt:lpstr>NovTot.19</vt:lpstr>
      <vt:lpstr>NovTot.20</vt:lpstr>
      <vt:lpstr>OctTot.01</vt:lpstr>
      <vt:lpstr>OctTot.02</vt:lpstr>
      <vt:lpstr>OctTot.03</vt:lpstr>
      <vt:lpstr>OctTot.04</vt:lpstr>
      <vt:lpstr>OctTot.05</vt:lpstr>
      <vt:lpstr>OctTot.06</vt:lpstr>
      <vt:lpstr>OctTot.07</vt:lpstr>
      <vt:lpstr>OctTot.08</vt:lpstr>
      <vt:lpstr>OctTot.09</vt:lpstr>
      <vt:lpstr>OctTot.10</vt:lpstr>
      <vt:lpstr>OctTot.11</vt:lpstr>
      <vt:lpstr>OctTot.12</vt:lpstr>
      <vt:lpstr>OctTot.13</vt:lpstr>
      <vt:lpstr>OctTot.14</vt:lpstr>
      <vt:lpstr>OctTot.15</vt:lpstr>
      <vt:lpstr>OctTot.16</vt:lpstr>
      <vt:lpstr>OctTot.17</vt:lpstr>
      <vt:lpstr>OctTot.18</vt:lpstr>
      <vt:lpstr>OctTot.19</vt:lpstr>
      <vt:lpstr>OctTot.20</vt:lpstr>
      <vt:lpstr>Program</vt:lpstr>
      <vt:lpstr>Project.01</vt:lpstr>
      <vt:lpstr>Project.02</vt:lpstr>
      <vt:lpstr>Project.03</vt:lpstr>
      <vt:lpstr>Project.04</vt:lpstr>
      <vt:lpstr>Project.05</vt:lpstr>
      <vt:lpstr>Project.06</vt:lpstr>
      <vt:lpstr>Project.07</vt:lpstr>
      <vt:lpstr>Project.08</vt:lpstr>
      <vt:lpstr>Project.09</vt:lpstr>
      <vt:lpstr>Project.10</vt:lpstr>
      <vt:lpstr>Project.11</vt:lpstr>
      <vt:lpstr>Project.12</vt:lpstr>
      <vt:lpstr>Project.13</vt:lpstr>
      <vt:lpstr>Project.14</vt:lpstr>
      <vt:lpstr>Project.15</vt:lpstr>
      <vt:lpstr>Project.16</vt:lpstr>
      <vt:lpstr>Project.17</vt:lpstr>
      <vt:lpstr>Project.18</vt:lpstr>
      <vt:lpstr>Project.19</vt:lpstr>
      <vt:lpstr>Project.20</vt:lpstr>
      <vt:lpstr>SepTot.01</vt:lpstr>
      <vt:lpstr>SepTot.02</vt:lpstr>
      <vt:lpstr>SepTot.03</vt:lpstr>
      <vt:lpstr>SepTot.04</vt:lpstr>
      <vt:lpstr>SepTot.05</vt:lpstr>
      <vt:lpstr>SepTot.06</vt:lpstr>
      <vt:lpstr>SepTot.07</vt:lpstr>
      <vt:lpstr>SepTot.08</vt:lpstr>
      <vt:lpstr>SepTot.09</vt:lpstr>
      <vt:lpstr>SepTot.10</vt:lpstr>
      <vt:lpstr>SepTot.11</vt:lpstr>
      <vt:lpstr>SepTot.12</vt:lpstr>
      <vt:lpstr>SepTot.13</vt:lpstr>
      <vt:lpstr>SepTot.14</vt:lpstr>
      <vt:lpstr>SepTot.15</vt:lpstr>
      <vt:lpstr>SepTot.16</vt:lpstr>
      <vt:lpstr>SepTot.17</vt:lpstr>
      <vt:lpstr>SepTot.18</vt:lpstr>
      <vt:lpstr>SepTot.19</vt:lpstr>
      <vt:lpstr>SepTot.20</vt:lpstr>
      <vt:lpstr>Supervisor</vt:lpstr>
      <vt:lpstr>Title.member</vt:lpstr>
      <vt:lpstr>Title.supervisor</vt:lpstr>
      <vt:lpstr>Type.01</vt:lpstr>
      <vt:lpstr>Type.02</vt:lpstr>
      <vt:lpstr>Type.03</vt:lpstr>
      <vt:lpstr>Type.04</vt:lpstr>
      <vt:lpstr>Type.05</vt:lpstr>
      <vt:lpstr>Type.06</vt:lpstr>
      <vt:lpstr>Type.07</vt:lpstr>
      <vt:lpstr>Type.08</vt:lpstr>
      <vt:lpstr>Type.09</vt:lpstr>
      <vt:lpstr>Type.10</vt:lpstr>
      <vt:lpstr>Type.11</vt:lpstr>
      <vt:lpstr>Type.12</vt:lpstr>
      <vt:lpstr>Type.13</vt:lpstr>
      <vt:lpstr>Type.14</vt:lpstr>
      <vt:lpstr>Type.15</vt:lpstr>
      <vt:lpstr>Type.16</vt:lpstr>
      <vt:lpstr>Type.17</vt:lpstr>
      <vt:lpstr>Type.18</vt:lpstr>
      <vt:lpstr>Type.19</vt:lpstr>
      <vt:lpstr>Type.20</vt:lpstr>
      <vt:lpstr>Apr!Utskriftsområde</vt:lpstr>
      <vt:lpstr>Aug!Utskriftsområde</vt:lpstr>
      <vt:lpstr>Dec!Utskriftsområde</vt:lpstr>
      <vt:lpstr>Feb!Utskriftsområde</vt:lpstr>
      <vt:lpstr>Instructions!Utskriftsområde</vt:lpstr>
      <vt:lpstr>Jan!Utskriftsområde</vt:lpstr>
      <vt:lpstr>Jul!Utskriftsområde</vt:lpstr>
      <vt:lpstr>Jun!Utskriftsområde</vt:lpstr>
      <vt:lpstr>Mar!Utskriftsområde</vt:lpstr>
      <vt:lpstr>May!Utskriftsområde</vt:lpstr>
      <vt:lpstr>Nov!Utskriftsområde</vt:lpstr>
      <vt:lpstr>Oct!Utskriftsområde</vt:lpstr>
      <vt:lpstr>Overview!Utskriftsområde</vt:lpstr>
      <vt:lpstr>Sep!Utskriftsområde</vt:lpstr>
      <vt:lpstr>'Start page'!Utskriftsområde</vt:lpstr>
      <vt:lpstr>WP.01</vt:lpstr>
      <vt:lpstr>WP.02</vt:lpstr>
      <vt:lpstr>WP.03</vt:lpstr>
      <vt:lpstr>WP.04</vt:lpstr>
      <vt:lpstr>WP.05</vt:lpstr>
      <vt:lpstr>WP.06</vt:lpstr>
      <vt:lpstr>WP.07</vt:lpstr>
      <vt:lpstr>WP.08</vt:lpstr>
      <vt:lpstr>WP.09</vt:lpstr>
      <vt:lpstr>WP.10</vt:lpstr>
      <vt:lpstr>WP.11</vt:lpstr>
      <vt:lpstr>WP.12</vt:lpstr>
      <vt:lpstr>WP.13</vt:lpstr>
      <vt:lpstr>WP.14</vt:lpstr>
      <vt:lpstr>WP.15</vt:lpstr>
      <vt:lpstr>WP.16</vt:lpstr>
      <vt:lpstr>WP.17</vt:lpstr>
      <vt:lpstr>WP.18</vt:lpstr>
      <vt:lpstr>WP.19</vt:lpstr>
      <vt:lpstr>WP.20</vt:lpstr>
      <vt:lpstr>WP.list</vt:lpstr>
      <vt:lpstr>Year</vt:lpstr>
    </vt:vector>
  </TitlesOfParts>
  <Manager/>
  <Company>Karolinska Institutet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KI Timesheet Template</dc:title>
  <dc:subject>Effort monitoring</dc:subject>
  <dc:creator>Maud Kårebrand</dc:creator>
  <cp:keywords>tidrapportering;mall</cp:keywords>
  <dc:description/>
  <cp:lastModifiedBy>Maud Kårebrand</cp:lastModifiedBy>
  <cp:revision/>
  <cp:lastPrinted>2023-01-10T12:43:49Z</cp:lastPrinted>
  <dcterms:created xsi:type="dcterms:W3CDTF">2010-09-17T12:04:12Z</dcterms:created>
  <dcterms:modified xsi:type="dcterms:W3CDTF">2024-12-19T15:40:15Z</dcterms:modified>
  <cp:category>Mall</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0x01010037FD6BDAA952054EB02D18E67CD356BE</vt:lpwstr>
  </property>
  <property fmtid="{D5CDD505-2E9C-101B-9397-08002B2CF9AE}" pid="3" name="MediaServiceImageTags">
    <vt:lpwstr/>
  </property>
</Properties>
</file>